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60" windowHeight="8325" tabRatio="795" activeTab="0"/>
  </bookViews>
  <sheets>
    <sheet name="Summary" sheetId="1" r:id="rId1"/>
    <sheet name="Blocks" sheetId="2" r:id="rId2"/>
    <sheet name="Turnouts" sheetId="3" r:id="rId3"/>
    <sheet name="Sensors" sheetId="4" r:id="rId4"/>
    <sheet name="Cabs" sheetId="5" r:id="rId5"/>
    <sheet name="Sound" sheetId="6" r:id="rId6"/>
    <sheet name="Power" sheetId="7" r:id="rId7"/>
    <sheet name="Tools" sheetId="8" r:id="rId8"/>
    <sheet name="Computer" sheetId="9" r:id="rId9"/>
    <sheet name="Boards" sheetId="10" r:id="rId10"/>
    <sheet name="Cabinet" sheetId="11" r:id="rId11"/>
    <sheet name="Layout" sheetId="12" r:id="rId12"/>
    <sheet name="Lookup" sheetId="13" r:id="rId13"/>
  </sheets>
  <definedNames>
    <definedName name="BlockBoards">'Blocks'!$B$4</definedName>
    <definedName name="BlockTotal" localSheetId="10">'Cabinet'!#REF!</definedName>
    <definedName name="BlockTotal" localSheetId="4">'Cabs'!#REF!</definedName>
    <definedName name="BlockTotal" localSheetId="3">'Sensors'!#REF!</definedName>
    <definedName name="BlockTotal" localSheetId="2">'Turnouts'!#REF!</definedName>
    <definedName name="BlockTotal">'Blocks'!$G$53</definedName>
    <definedName name="BoardPrice">'Lookup'!$C$4:$H$4</definedName>
    <definedName name="BoardQty">'Lookup'!$C$3:$H$3</definedName>
    <definedName name="BoardTotal" localSheetId="8">'Computer'!$G$12</definedName>
    <definedName name="BoardTotal">'Boards'!$G$14</definedName>
    <definedName name="CabBoards">'Cabs'!$B$3</definedName>
    <definedName name="CabinetTotal">'Cabinet'!$G$14</definedName>
    <definedName name="CabTotal" localSheetId="10">'Cabinet'!#REF!</definedName>
    <definedName name="CabTotal">'Cabs'!$G$45</definedName>
    <definedName name="ComputerTotal">'Computer'!$G$12</definedName>
    <definedName name="HallBoards">'Sensors'!$B$4</definedName>
    <definedName name="HallTotal" localSheetId="10">'Cabinet'!#REF!</definedName>
    <definedName name="HallTotal" localSheetId="4">'Cabs'!$G$45</definedName>
    <definedName name="HallTotal">'Sensors'!$G$31</definedName>
    <definedName name="LayoutTotal">'Layout'!$F$17</definedName>
    <definedName name="NumBlocks">'Summary'!$C$6</definedName>
    <definedName name="NumCables">'Boards'!$F$22</definedName>
    <definedName name="NumControls">'Summary'!$C$9</definedName>
    <definedName name="NumHalls">'Summary'!$C$8</definedName>
    <definedName name="NumHorns">'Summary'!$C$10</definedName>
    <definedName name="NumTables">'Summary'!#REF!</definedName>
    <definedName name="NumTurns">'Summary'!$C$7</definedName>
    <definedName name="PowerTotal">'Power'!$G$27</definedName>
    <definedName name="SoundTotal">'Sound'!$G$67</definedName>
    <definedName name="TableTotal">#REF!</definedName>
    <definedName name="ToolTotal" localSheetId="9">'Boards'!$G$14</definedName>
    <definedName name="ToolTotal" localSheetId="8">'Computer'!$G$12</definedName>
    <definedName name="ToolTotal" localSheetId="11">'Layout'!$F$17</definedName>
    <definedName name="ToolTotal" localSheetId="6">'Power'!$G$27</definedName>
    <definedName name="ToolTotal" localSheetId="5">'Sound'!$G$67</definedName>
    <definedName name="ToolTotal">'Tools'!$G$11</definedName>
    <definedName name="TotalPower">'Power'!$G$27</definedName>
    <definedName name="TurnBoards">'Turnouts'!$B$4</definedName>
    <definedName name="TurnTotal">'Turnouts'!$G$36</definedName>
  </definedNames>
  <calcPr fullCalcOnLoad="1"/>
</workbook>
</file>

<file path=xl/sharedStrings.xml><?xml version="1.0" encoding="utf-8"?>
<sst xmlns="http://schemas.openxmlformats.org/spreadsheetml/2006/main" count="608" uniqueCount="389">
  <si>
    <t>Quantity</t>
  </si>
  <si>
    <t>Item Number</t>
  </si>
  <si>
    <t>Qty</t>
  </si>
  <si>
    <t>Digi-Key</t>
  </si>
  <si>
    <t>Name of Item</t>
  </si>
  <si>
    <t>Price</t>
  </si>
  <si>
    <t>Each</t>
  </si>
  <si>
    <t>Total</t>
  </si>
  <si>
    <t>Number of blocks (from Summary page)</t>
  </si>
  <si>
    <t>Number of board pairs (12 circuits per pair)</t>
  </si>
  <si>
    <t>WM4641-ND</t>
  </si>
  <si>
    <t>HEADER 3 POS .156 FRIC LOCK RT/A</t>
  </si>
  <si>
    <t>WM2112-ND</t>
  </si>
  <si>
    <t>CONN HOUS 3 POS .156" W/POLAR</t>
  </si>
  <si>
    <t>WM2300-ND</t>
  </si>
  <si>
    <t>CRIMP TERMINAL,.156</t>
  </si>
  <si>
    <t>Block Interface Boards (block board and relay board)</t>
  </si>
  <si>
    <t>Tools</t>
  </si>
  <si>
    <t>WM9928-ND</t>
  </si>
  <si>
    <t>TOOL EXTRACTION MOLEX .156 TERM</t>
  </si>
  <si>
    <t>AHS50G-ND</t>
  </si>
  <si>
    <t>ALSN01-ND</t>
  </si>
  <si>
    <t>LATCHES FOR PROTECTED HEADERS</t>
  </si>
  <si>
    <t>50 PIN STRAIGHT LEAD protected header</t>
  </si>
  <si>
    <t>4610X-1-223-ND</t>
  </si>
  <si>
    <t>RES NETW 10 SIP BUSSED 22K OHM</t>
  </si>
  <si>
    <t>296-3505-5-ND</t>
  </si>
  <si>
    <t>C QUAD LO-HI VOLT SHFTR 16-DIP</t>
  </si>
  <si>
    <t>CD4051BCN-ND</t>
  </si>
  <si>
    <t>8 CHANNEL ANALOG MUX/DEMUX</t>
  </si>
  <si>
    <t>L20311-ND</t>
  </si>
  <si>
    <t>PC BOARD MNT LED RED</t>
  </si>
  <si>
    <t>WM4306-ND</t>
  </si>
  <si>
    <t>8 CIR HED.100 RT ANG FRICT LOCK</t>
  </si>
  <si>
    <t>WM2006-ND</t>
  </si>
  <si>
    <t>8 CIRCUIT TERMINAL HOUSING,.100</t>
  </si>
  <si>
    <t>WM9927-ND</t>
  </si>
  <si>
    <t>TOOL EXTRACTION MOLEX .100 TERM</t>
  </si>
  <si>
    <t>WM9999-ND</t>
  </si>
  <si>
    <t>MOLEX UNIVERSAL CRIMP TOOL</t>
  </si>
  <si>
    <t>A23237-ND</t>
  </si>
  <si>
    <t>09 RCPT SP/AP STD</t>
  </si>
  <si>
    <t>A23217-ND</t>
  </si>
  <si>
    <t>09 PLUG SP/AP STD</t>
  </si>
  <si>
    <t>300H-ND</t>
  </si>
  <si>
    <t>300 OHM 1/2W 5% CARBON FILM RES</t>
  </si>
  <si>
    <t>1.3KH-ND</t>
  </si>
  <si>
    <t>1.3K OHM 1/2W 5% CARBON FILM RES</t>
  </si>
  <si>
    <t>1.6KH-ND</t>
  </si>
  <si>
    <t>1.6K OHM 1/2W 5% CARBON FILM RES</t>
  </si>
  <si>
    <t>1N4003MSCT-ND</t>
  </si>
  <si>
    <t>RECTIFIER 1 AMP 200V DO-41</t>
  </si>
  <si>
    <t>WM2111-ND</t>
  </si>
  <si>
    <t>CONN HOUS 2 POS .156" W/POLAR</t>
  </si>
  <si>
    <t>WM4640-ND</t>
  </si>
  <si>
    <t>HEADER 2 POS .156 FRIC LOCK RT/A</t>
  </si>
  <si>
    <t>1.00KXBK-ND</t>
  </si>
  <si>
    <t>1.00K OHM 1/4W 1% METAL FILM RES</t>
  </si>
  <si>
    <t>5.1KQBK-ND</t>
  </si>
  <si>
    <t>5.1K OHM 1/4W 5% CARBON FILM RES</t>
  </si>
  <si>
    <t>ED3316-ND</t>
  </si>
  <si>
    <t>16 PIN IC SOCKET GOLD .300</t>
  </si>
  <si>
    <t>CD4010CN-ND</t>
  </si>
  <si>
    <t>HEX BUFFER</t>
  </si>
  <si>
    <t>2SD1277A-ND</t>
  </si>
  <si>
    <t>TRANS NPN LF 80VCEO 8A TO-220F</t>
  </si>
  <si>
    <t>PN2222A-ND</t>
  </si>
  <si>
    <t>NPN MED GEN GP TRANS(TO-92 CASE)</t>
  </si>
  <si>
    <t>A3AAG-5036G-ND</t>
  </si>
  <si>
    <t>IDC CABLE - ASC50G/R028/ASC50G</t>
  </si>
  <si>
    <t>C1360-500-ND</t>
  </si>
  <si>
    <t>CABLE 20/2COND 10/30 SPEAKER</t>
  </si>
  <si>
    <t>Grand Total</t>
  </si>
  <si>
    <t>Block Control Circuit Board</t>
  </si>
  <si>
    <t>Relay Circuit Board</t>
  </si>
  <si>
    <t>Z746-ND</t>
  </si>
  <si>
    <t>RELAY PC MNT PWR DPDT 5A 5VDC</t>
  </si>
  <si>
    <t>Number of turnouts (from Summary page)</t>
  </si>
  <si>
    <t>WM4310-ND</t>
  </si>
  <si>
    <t>12 CIR HED.100 RT ANG FRICT LOCK</t>
  </si>
  <si>
    <t>WM2010-ND</t>
  </si>
  <si>
    <t>12 CIRCUIT TERMINAL HOUSING,.100</t>
  </si>
  <si>
    <t>WM2200-ND</t>
  </si>
  <si>
    <t>CRIMP TERMINAL,.100</t>
  </si>
  <si>
    <t>750H-ND</t>
  </si>
  <si>
    <t>296-9911-5-ND</t>
  </si>
  <si>
    <t>IC HALF-H DRVR QUAD 16-DIP (SN754410)</t>
  </si>
  <si>
    <t>296-1629-5-ND</t>
  </si>
  <si>
    <t>IC HEX INVERTER 14-DIP (SN74LS04)</t>
  </si>
  <si>
    <t>MCT62-ND</t>
  </si>
  <si>
    <t>TRANSISTOR OPTOISOLATOR</t>
  </si>
  <si>
    <t>ED3314-ND</t>
  </si>
  <si>
    <t>14 PIN IC SOCKET GOLD .300</t>
  </si>
  <si>
    <t>0.0QBK-ND</t>
  </si>
  <si>
    <t>1/4W ZERO OHM JUMPER</t>
  </si>
  <si>
    <t>Number of boards (24 circuits per board)</t>
  </si>
  <si>
    <t>4606X-1-223-ND</t>
  </si>
  <si>
    <t>RES NETW 6 SIP BUSSED 22K OHM</t>
  </si>
  <si>
    <t>Turnout Control Circuit Board</t>
  </si>
  <si>
    <t>W121-500-ND</t>
  </si>
  <si>
    <t>UNSHIELDED 22AWG UL2464 3 COND</t>
  </si>
  <si>
    <t>Number of Hall sensors (from Summary page)</t>
  </si>
  <si>
    <t>Number of boards (32 circuits per board)</t>
  </si>
  <si>
    <t>Hall Sensor Circuit Board</t>
  </si>
  <si>
    <t>DN6848-ND</t>
  </si>
  <si>
    <t>IC HALL EFF SENSOR UNI-D 3-SIP</t>
  </si>
  <si>
    <t>Power Supplies</t>
  </si>
  <si>
    <t>HM523-ND</t>
  </si>
  <si>
    <t>TRANSFORMER PWR 12.6VCT 8A</t>
  </si>
  <si>
    <t>179-2070-ND</t>
  </si>
  <si>
    <t>LNR SUP DBL OUT 5/12-15V CASE BB</t>
  </si>
  <si>
    <t>271-2023-ND</t>
  </si>
  <si>
    <t>PS LINEAR DUAL 5V@3A 9-15V@1.2A</t>
  </si>
  <si>
    <t>V1125-ND</t>
  </si>
  <si>
    <t>PERFBD EPOXY GLASS 4.8 X 8.5</t>
  </si>
  <si>
    <t>HS230-ND</t>
  </si>
  <si>
    <t>HEATSINK TO-220 BLACK 1.18"</t>
  </si>
  <si>
    <t>1895K-ND</t>
  </si>
  <si>
    <t>STANDOFF HEX ALUM 4/40 THD .750"</t>
  </si>
  <si>
    <t>H343-ND</t>
  </si>
  <si>
    <t>MACH SCREW PHILLIPS 4-40 * 5/16</t>
  </si>
  <si>
    <t>H236-ND</t>
  </si>
  <si>
    <t>#4 LOCKWASH INTERNAL TOOTH</t>
  </si>
  <si>
    <t>H216-ND</t>
  </si>
  <si>
    <t>4-40 HEX NUTS</t>
  </si>
  <si>
    <t>F006-ND</t>
  </si>
  <si>
    <t>PANEL FUSEHOLDER ST TERM 4PCS</t>
  </si>
  <si>
    <t>F122-ND</t>
  </si>
  <si>
    <t>4A 3AG FUSE</t>
  </si>
  <si>
    <t>2A 3AG FUSE</t>
  </si>
  <si>
    <t>F119-ND</t>
  </si>
  <si>
    <t>Q111-ND</t>
  </si>
  <si>
    <t>CORD 16AWG 3CON BLK 118" SJT</t>
  </si>
  <si>
    <t>Turnout Interface Board</t>
  </si>
  <si>
    <t>Hall Sensor Interface Board</t>
  </si>
  <si>
    <t>Number of boards (only one per system)</t>
  </si>
  <si>
    <t>Printed Circuit Board Maufacturing Cost</t>
  </si>
  <si>
    <t>A23244-ND</t>
  </si>
  <si>
    <t>37 RCPT SP/AP STD</t>
  </si>
  <si>
    <t>3006P-203-ND</t>
  </si>
  <si>
    <t>20K OHM 3/4 RECT CERM MT POT</t>
  </si>
  <si>
    <t>10KQBK-ND</t>
  </si>
  <si>
    <t>10K OHM 1/4W 5% CARBON FILM RES</t>
  </si>
  <si>
    <t>277-1276-ND</t>
  </si>
  <si>
    <t>CONN TERM BLOCK 2.54MM 5POS</t>
  </si>
  <si>
    <t>277-1277-ND</t>
  </si>
  <si>
    <t>CONN TERM BLOCK 2.54MM 6POS</t>
  </si>
  <si>
    <t>277-1279-ND</t>
  </si>
  <si>
    <t>CONN TERM BLOCK 2.54MM 8POS</t>
  </si>
  <si>
    <t>277-1281-ND</t>
  </si>
  <si>
    <t>CONN TERM BLOCK 2.54MM 10POS</t>
  </si>
  <si>
    <t>LM324ANNS-ND</t>
  </si>
  <si>
    <t>IC LOW POWER QUAD OP AMPS 14 DIP</t>
  </si>
  <si>
    <t>Cab Hand Controller Circuit Board</t>
  </si>
  <si>
    <t>Cabinet (rack for electronics)</t>
  </si>
  <si>
    <t>HM792-ND</t>
  </si>
  <si>
    <t>PANEL 5.25X19 INCH GRY</t>
  </si>
  <si>
    <t>HM829-ND</t>
  </si>
  <si>
    <t>WASHER PKG/100</t>
  </si>
  <si>
    <t>HM827-ND</t>
  </si>
  <si>
    <t>SCREW PKG/100</t>
  </si>
  <si>
    <t xml:space="preserve">Enter number of blocks: </t>
  </si>
  <si>
    <t xml:space="preserve">Enter number of turnouts: </t>
  </si>
  <si>
    <t xml:space="preserve">Enter number of Hall sensors: </t>
  </si>
  <si>
    <t>V1148-ND</t>
  </si>
  <si>
    <t>CARDRACK EIA W/21 GUIDE 19X5UX12</t>
  </si>
  <si>
    <t>HM797-ND</t>
  </si>
  <si>
    <t>PANEL 14X19 INCH GRY</t>
  </si>
  <si>
    <t>Cab and Hand Controller Interface Board</t>
  </si>
  <si>
    <t>SRA27A-ND</t>
  </si>
  <si>
    <t>BOX A SERIES ALM (3.35X5.3X1.5)</t>
  </si>
  <si>
    <t>EG1895-ND</t>
  </si>
  <si>
    <t>SWITCH ROCKER PADDLE DPST 10A</t>
  </si>
  <si>
    <t>TOGGLE SWITCH SPDT SOLDER-5 PCS</t>
  </si>
  <si>
    <t>CKN1027-ND</t>
  </si>
  <si>
    <t>CKN1040-ND</t>
  </si>
  <si>
    <t>CKN1121-ND</t>
  </si>
  <si>
    <t>SWITCH SPST PB MOMENTARY 1A black</t>
  </si>
  <si>
    <t>CKN1123-ND</t>
  </si>
  <si>
    <t>SWITCH PB RED OFF-MOM 1A 3PCS</t>
  </si>
  <si>
    <t>RV4N102C-ND</t>
  </si>
  <si>
    <t>POT 1.0K OHM CARBON 2W</t>
  </si>
  <si>
    <t>226-1012-ND</t>
  </si>
  <si>
    <t>KNOB ALUM .925"DIA .250" SHAFT</t>
  </si>
  <si>
    <t>CP-1280-ND</t>
  </si>
  <si>
    <t>CONN DIN 8 PIN FEMALE PANEL MNT</t>
  </si>
  <si>
    <t>CP-1080-ND</t>
  </si>
  <si>
    <t>CONN CIRCULAR DIN 8 PIN MALE</t>
  </si>
  <si>
    <t>W126-100-ND</t>
  </si>
  <si>
    <t>UNSHIELDED 22AWG UL2464 8 COND</t>
  </si>
  <si>
    <t>CIO-DIO192</t>
  </si>
  <si>
    <t>Measurement</t>
  </si>
  <si>
    <t>Computing</t>
  </si>
  <si>
    <t>Description</t>
  </si>
  <si>
    <t>CIO-INT32</t>
  </si>
  <si>
    <t>32 bit interrupt vector input</t>
  </si>
  <si>
    <t>CIO-DDA06/Jr</t>
  </si>
  <si>
    <t>CIO-DUAL-DAC</t>
  </si>
  <si>
    <t>D/A converter (2 channel)</t>
  </si>
  <si>
    <t>Additional 2 channels D/A for CIO-DDA06/Jr</t>
  </si>
  <si>
    <t>10 channel 16 bit counter/timer</t>
  </si>
  <si>
    <t>CIO-CTR05</t>
  </si>
  <si>
    <t>Tools not commonly found in electronics lab</t>
  </si>
  <si>
    <t>Computer Boards (ISA Bus)</t>
  </si>
  <si>
    <t>160-1038-ND</t>
  </si>
  <si>
    <t>LED T1-3/4 UL-BRT RED/GRN WH DIF</t>
  </si>
  <si>
    <t>M7PSG-3706J-ND</t>
  </si>
  <si>
    <t>D-SUB CABLE MMM37G/MC37G/MFM37G</t>
  </si>
  <si>
    <t>If you don't want to use pulse width modulation</t>
  </si>
  <si>
    <t>for speed control, reduce items numbers 1 &amp; 2</t>
  </si>
  <si>
    <t>from 3 to 2.</t>
  </si>
  <si>
    <t xml:space="preserve">The D/A board (items 3 and 4) and the </t>
  </si>
  <si>
    <t>counter timer board (item 5) are the sources of</t>
  </si>
  <si>
    <t>the voltages that control the speeds of the trains.</t>
  </si>
  <si>
    <t xml:space="preserve">You can eliminate item 5 if you do NOT want to </t>
  </si>
  <si>
    <t>use pulse width modulation for speed control.</t>
  </si>
  <si>
    <t>want to run fewer trains.</t>
  </si>
  <si>
    <t>You can reduce or eliminate item 4 if you</t>
  </si>
  <si>
    <t>CMOS logic and op-amps.</t>
  </si>
  <si>
    <t>Tortoise switch machines</t>
  </si>
  <si>
    <t>Locomotives</t>
  </si>
  <si>
    <t>Cabooses</t>
  </si>
  <si>
    <t>Freight cars</t>
  </si>
  <si>
    <t>RNA 14</t>
  </si>
  <si>
    <t>Rack-Mount Chassis</t>
  </si>
  <si>
    <t>CBBG 486-133</t>
  </si>
  <si>
    <t>Rack Mount Computer</t>
  </si>
  <si>
    <t>Interface Electronics</t>
  </si>
  <si>
    <t>Control Computer</t>
  </si>
  <si>
    <t>Layout</t>
  </si>
  <si>
    <t>Turnouts</t>
  </si>
  <si>
    <t>Crossings</t>
  </si>
  <si>
    <t>ISA bus I/O Boards</t>
  </si>
  <si>
    <t>330H-ND</t>
  </si>
  <si>
    <t>330 OHM 1/2W 5% CARBON FILM RES</t>
  </si>
  <si>
    <t>750 OHM 1/2W 5% CARBON FILM RES</t>
  </si>
  <si>
    <t>A26333-ND</t>
  </si>
  <si>
    <t>A/L HARDWARE FOR EJECTION KIT</t>
  </si>
  <si>
    <t>DoubleTalk Voice Synthesizer</t>
  </si>
  <si>
    <t>AMD 586 All-In-One CPU Card</t>
  </si>
  <si>
    <t>3.9KQBK-ND</t>
  </si>
  <si>
    <t>3.9K OHM 1/4W 5% CARBON FILM RES</t>
  </si>
  <si>
    <t>RP508-ND</t>
  </si>
  <si>
    <t>T-1 3/4 LED SPACER 5/8"</t>
  </si>
  <si>
    <t>RES 300 OHM 1W 5% METAL OXIDE</t>
  </si>
  <si>
    <t>7233K-ND</t>
  </si>
  <si>
    <t>JACK SCREW 4/40X.625" 2 PC SET</t>
  </si>
  <si>
    <t>RACK STEEL 22.75X19X24.5 IN GRY</t>
  </si>
  <si>
    <t>HM670-ND</t>
  </si>
  <si>
    <t>4116R-1-331-ND</t>
  </si>
  <si>
    <t>RES NETW 330 OHM 16 DIP ISOLATED</t>
  </si>
  <si>
    <t>L20401-ND</t>
  </si>
  <si>
    <t>LED RED T1 DUAL RIGHT ANGLE PCB</t>
  </si>
  <si>
    <t>P5577-ND</t>
  </si>
  <si>
    <t>CAP 3300UF 50V ELECT NHG RADIAL</t>
  </si>
  <si>
    <t>GBJ804DI-ND</t>
  </si>
  <si>
    <t>RECT BRIDGE GPP 400V 8A GBJ</t>
  </si>
  <si>
    <t>12V for turnout motors.</t>
  </si>
  <si>
    <t>Change the numbers in the yellow boxes to</t>
  </si>
  <si>
    <t>what you desire.</t>
  </si>
  <si>
    <t>DALLEE digital locomotive sound board</t>
  </si>
  <si>
    <t>Sound System Circuit Board</t>
  </si>
  <si>
    <t>Enter number of Speakers desired</t>
  </si>
  <si>
    <t>DALLEE 22W Amplifiers</t>
  </si>
  <si>
    <t>8 ohm bookshelf speaker</t>
  </si>
  <si>
    <t>Enter number of Diesel Horns (0-4)</t>
  </si>
  <si>
    <t>100KQBK-ND</t>
  </si>
  <si>
    <t>100K OHM 1/4W 5% CARBON FILM RES</t>
  </si>
  <si>
    <t>2.4KQBK-ND</t>
  </si>
  <si>
    <t>2.4K OHM 1/4W 5% CARBON FILM RES</t>
  </si>
  <si>
    <t>6.2KQBK-ND</t>
  </si>
  <si>
    <t>6.2K OHM 1/4W 5% CARBON FILM RES</t>
  </si>
  <si>
    <t>277-1274-ND</t>
  </si>
  <si>
    <t>CONN TERM BLOCK 2.54MM 3POS</t>
  </si>
  <si>
    <t>277-1275-ND</t>
  </si>
  <si>
    <t>CONN TERM BLOCK 2.54MM 4POS</t>
  </si>
  <si>
    <t>3296Y-203-ND</t>
  </si>
  <si>
    <t>20K OHM 3/8 SQ CERM MT SL POT</t>
  </si>
  <si>
    <t>1.0KQBK-ND</t>
  </si>
  <si>
    <t>1.0K OHM 1/4W 5% CARBON FILM RES</t>
  </si>
  <si>
    <t>Interface Electronics Total</t>
  </si>
  <si>
    <t>Control Computer Total</t>
  </si>
  <si>
    <t>WM4620-ND</t>
  </si>
  <si>
    <t>HEADER 2 POS .156 FRIC LOCK STR</t>
  </si>
  <si>
    <t>WM4621-ND</t>
  </si>
  <si>
    <t>HEADER 3 POS .156 FRIC LOCK STR</t>
  </si>
  <si>
    <t>WM2122-ND</t>
  </si>
  <si>
    <t>CONN HOUS 2 POS .156" W/RAMP</t>
  </si>
  <si>
    <t>WM2123-ND</t>
  </si>
  <si>
    <t>CONN HOUS 3 POS .156" W/RAMP</t>
  </si>
  <si>
    <t>HM521-ND</t>
  </si>
  <si>
    <t>TRANSFORMER 115VAC 12.6VCT 4A</t>
  </si>
  <si>
    <t>L20161-ND</t>
  </si>
  <si>
    <t>LED RED T1-3/4 VERTICAL PCB</t>
  </si>
  <si>
    <t>Items 1-10 are for constructing an unregulated</t>
  </si>
  <si>
    <t>18V 4A supply for the track blocks.  Different</t>
  </si>
  <si>
    <t>Item 12 supplies 5V for TTL logic and 15V for</t>
  </si>
  <si>
    <t xml:space="preserve">Item 13 supplies 5V for block relays and </t>
  </si>
  <si>
    <t>LM358ANNS-ND</t>
  </si>
  <si>
    <t>IC LOW POWER DUAL OP AMP 8 DIP</t>
  </si>
  <si>
    <t>P5566-ND</t>
  </si>
  <si>
    <t>CAP 4.7UF 50V ELECT NHG RADIAL</t>
  </si>
  <si>
    <t>P5569-ND</t>
  </si>
  <si>
    <t>CAP 33UF 50V ELECT NHG RADIAL</t>
  </si>
  <si>
    <t>P5571-ND</t>
  </si>
  <si>
    <t>CAP 100UF 50V ELECT NHG RADIAL</t>
  </si>
  <si>
    <t>47KQBK-ND</t>
  </si>
  <si>
    <t>47K OHM 1/4W 5% CARBON FILM RES</t>
  </si>
  <si>
    <t>ED3308-ND</t>
  </si>
  <si>
    <t>8 PIN IC SOCKET GOLD .300</t>
  </si>
  <si>
    <t>MM74HC04N-ND</t>
  </si>
  <si>
    <t>IC HEX INVERTER 14 DIP, 74HC series</t>
  </si>
  <si>
    <t>EF1474-ND</t>
  </si>
  <si>
    <t>0.47UF/100VDC METAL POLY CAP</t>
  </si>
  <si>
    <t>WM2000-ND</t>
  </si>
  <si>
    <t>2 CIRCUIT TERMINAL HOUSING,.100</t>
  </si>
  <si>
    <t>WM2001-ND</t>
  </si>
  <si>
    <t>3 CIRCUIT TERMINAL HOUSING,.100</t>
  </si>
  <si>
    <t>WM2003-ND</t>
  </si>
  <si>
    <t>5 CIRCUIT TERMINAL HOUSING,.100</t>
  </si>
  <si>
    <t>WM4200-ND</t>
  </si>
  <si>
    <t>2 CIR HEADER .100 STR FRICT LOCK</t>
  </si>
  <si>
    <t>WM4201-ND</t>
  </si>
  <si>
    <t>3 CIR HEADER.100 STR FRICT LOCK</t>
  </si>
  <si>
    <t>WM4203-ND</t>
  </si>
  <si>
    <t>5 CIR HEADER.100 STR FRICT LOCK</t>
  </si>
  <si>
    <t>WM4206-ND</t>
  </si>
  <si>
    <t>8 CIR HEADER.100 STR FRICT LOCK</t>
  </si>
  <si>
    <t>LM339NNS-ND</t>
  </si>
  <si>
    <t>HIGH PERFORM QUAD COMPARATOR</t>
  </si>
  <si>
    <t>Sound System (Diesel Horns, Bells, Prime Mover sound)</t>
  </si>
  <si>
    <t xml:space="preserve">The DIO boards (item 1) connect to block and </t>
  </si>
  <si>
    <t>turnout interface boards.  The DIO board in</t>
  </si>
  <si>
    <t>Number of Hand Controllers (from summary page)</t>
  </si>
  <si>
    <t xml:space="preserve">If using sound, you can set the number </t>
  </si>
  <si>
    <t>of speakers in your system on the</t>
  </si>
  <si>
    <t>sound sheet.</t>
  </si>
  <si>
    <t>this cost estimator has 4 6-byte cables.  You</t>
  </si>
  <si>
    <t>may be able to save money by using</t>
  </si>
  <si>
    <t>different combinations of DIO boards with</t>
  </si>
  <si>
    <t>Digital I/O, 192 bits (4 6-byte cables)</t>
  </si>
  <si>
    <t>Enter number of hand controllers (0-3)</t>
  </si>
  <si>
    <t>Prices do not include shipping/handling</t>
  </si>
  <si>
    <t>Cabinet (rack for computer and electronics)</t>
  </si>
  <si>
    <t>Item 6 is used to hold all of the 8"x10"</t>
  </si>
  <si>
    <t xml:space="preserve">custom interface cards.  </t>
  </si>
  <si>
    <t>Look around for some old equipment racks</t>
  </si>
  <si>
    <t>John McCormick</t>
  </si>
  <si>
    <t>Computer Science Department</t>
  </si>
  <si>
    <t>University of Northern Iowa</t>
  </si>
  <si>
    <t>mccormick@cs.uni.edu</t>
  </si>
  <si>
    <t>parts are used if a sound board is included as</t>
  </si>
  <si>
    <t>the sound board comes with an extra pcb for</t>
  </si>
  <si>
    <t>this power supply.</t>
  </si>
  <si>
    <t>F115-ND</t>
  </si>
  <si>
    <t>1A 3AG FUSE</t>
  </si>
  <si>
    <t>Number of Sound Systems (horns from Summary page)</t>
  </si>
  <si>
    <t>when a bit changes.  Used for Hall sensors.</t>
  </si>
  <si>
    <t>The INT32 board (item 2) generates an interrupt</t>
  </si>
  <si>
    <t>fewer cables.  The total number of 6-byte</t>
  </si>
  <si>
    <t>cables you need is shown to the right</t>
  </si>
  <si>
    <t>cables</t>
  </si>
  <si>
    <t>Enter values into the yellow boxes</t>
  </si>
  <si>
    <t>The Layout sheet has many options</t>
  </si>
  <si>
    <t>RV4N503C-ND</t>
  </si>
  <si>
    <t>POT 50K OHM CARBON 2W</t>
  </si>
  <si>
    <t>Real-Time Model Railroading Cost Estimate</t>
  </si>
  <si>
    <t>Rack-Mount Computer &amp; Touch Screen Monitor</t>
  </si>
  <si>
    <t>HO-Scale track &amp; trains</t>
  </si>
  <si>
    <t>01X 1310</t>
  </si>
  <si>
    <t>Rack-Mount Keyboard</t>
  </si>
  <si>
    <t>Touch Screen Monitor</t>
  </si>
  <si>
    <t>06-20361</t>
  </si>
  <si>
    <t>The Voice Synthesizer is a wonderful debugging</t>
  </si>
  <si>
    <t>tool.  Also provides nice feedback to the "users"</t>
  </si>
  <si>
    <t>Save money by not using rack mount equipment</t>
  </si>
  <si>
    <t>Save money by not using a touch screen monitor</t>
  </si>
  <si>
    <t>You can use most any old PC</t>
  </si>
  <si>
    <t>to reduce costs on this sheet.</t>
  </si>
  <si>
    <t>Feet of track (assume 5' per block)</t>
  </si>
  <si>
    <t>HO-Scale Model Railroading Equipment</t>
  </si>
  <si>
    <t>Feet of instant roadbed</t>
  </si>
  <si>
    <t>Miscellaneous parts</t>
  </si>
  <si>
    <t>This sheet include only specialized tools</t>
  </si>
  <si>
    <t>You will also need hand tools found commonly</t>
  </si>
  <si>
    <t>found in wordworking and electronics shops.</t>
  </si>
  <si>
    <t xml:space="preserve">Change the number in the yellow </t>
  </si>
  <si>
    <t>box to what you desire.</t>
  </si>
  <si>
    <t>Prices as of December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</si>
</sst>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0"/>
    <numFmt numFmtId="167" formatCode="&quot;$&quot;#,##0.00000_);[Red]\(&quot;$&quot;#,##0.000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8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5" xfId="0" applyNumberFormat="1" applyBorder="1" applyAlignment="1">
      <alignment/>
    </xf>
    <xf numFmtId="0" fontId="0" fillId="0" borderId="4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8" fontId="0" fillId="0" borderId="7" xfId="0" applyNumberFormat="1" applyBorder="1" applyAlignment="1">
      <alignment/>
    </xf>
    <xf numFmtId="8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8" fontId="0" fillId="0" borderId="2" xfId="0" applyNumberFormat="1" applyBorder="1" applyAlignment="1">
      <alignment/>
    </xf>
    <xf numFmtId="8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>
      <alignment/>
    </xf>
    <xf numFmtId="8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8" fontId="1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166" fontId="0" fillId="0" borderId="0" xfId="17" applyNumberFormat="1" applyAlignment="1">
      <alignment horizontal="right"/>
    </xf>
    <xf numFmtId="166" fontId="0" fillId="0" borderId="0" xfId="0" applyNumberFormat="1" applyAlignment="1">
      <alignment/>
    </xf>
    <xf numFmtId="0" fontId="0" fillId="2" borderId="9" xfId="0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17" applyNumberFormat="1" applyFont="1" applyAlignment="1">
      <alignment horizontal="right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0" fontId="5" fillId="0" borderId="0" xfId="0" applyFont="1" applyAlignment="1">
      <alignment/>
    </xf>
    <xf numFmtId="8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5.7109375" style="0" customWidth="1"/>
    <col min="2" max="2" width="40.00390625" style="0" customWidth="1"/>
    <col min="3" max="3" width="6.7109375" style="0" customWidth="1"/>
    <col min="4" max="4" width="11.140625" style="0" customWidth="1"/>
  </cols>
  <sheetData>
    <row r="1" spans="1:8" ht="12.75">
      <c r="A1" s="1" t="s">
        <v>366</v>
      </c>
      <c r="F1" s="27" t="s">
        <v>347</v>
      </c>
      <c r="G1" s="28"/>
      <c r="H1" s="48"/>
    </row>
    <row r="2" spans="1:8" ht="12.75">
      <c r="A2" s="1"/>
      <c r="B2" t="s">
        <v>388</v>
      </c>
      <c r="F2" s="14" t="s">
        <v>348</v>
      </c>
      <c r="G2" s="15"/>
      <c r="H2" s="16"/>
    </row>
    <row r="3" spans="1:8" ht="12.75">
      <c r="A3" s="1"/>
      <c r="B3" t="s">
        <v>342</v>
      </c>
      <c r="F3" s="14" t="s">
        <v>349</v>
      </c>
      <c r="G3" s="15"/>
      <c r="H3" s="16"/>
    </row>
    <row r="4" spans="6:8" ht="12.75">
      <c r="F4" s="21" t="s">
        <v>350</v>
      </c>
      <c r="G4" s="22"/>
      <c r="H4" s="49"/>
    </row>
    <row r="5" ht="12.75">
      <c r="A5" s="45" t="s">
        <v>227</v>
      </c>
    </row>
    <row r="6" spans="2:4" ht="12.75">
      <c r="B6" s="44" t="s">
        <v>161</v>
      </c>
      <c r="C6" s="41">
        <v>40</v>
      </c>
      <c r="D6" s="38">
        <f>BlockTotal</f>
        <v>1012.61</v>
      </c>
    </row>
    <row r="7" spans="2:6" ht="12.75">
      <c r="B7" s="44" t="s">
        <v>162</v>
      </c>
      <c r="C7" s="41">
        <v>24</v>
      </c>
      <c r="D7" s="38">
        <f>TurnTotal</f>
        <v>209.29000000000002</v>
      </c>
      <c r="F7" s="52" t="s">
        <v>362</v>
      </c>
    </row>
    <row r="8" spans="2:4" ht="12.75">
      <c r="B8" s="44" t="s">
        <v>163</v>
      </c>
      <c r="C8" s="41">
        <v>51</v>
      </c>
      <c r="D8" s="38">
        <f>HallTotal</f>
        <v>359.74</v>
      </c>
    </row>
    <row r="9" spans="2:4" ht="12.75">
      <c r="B9" s="44" t="s">
        <v>341</v>
      </c>
      <c r="C9" s="41">
        <v>3</v>
      </c>
      <c r="D9" s="38">
        <f>CabTotal</f>
        <v>408.8549999999999</v>
      </c>
    </row>
    <row r="10" spans="2:6" ht="12.75">
      <c r="B10" s="44" t="s">
        <v>265</v>
      </c>
      <c r="C10" s="41">
        <v>3</v>
      </c>
      <c r="D10" s="38">
        <f>SoundTotal</f>
        <v>651.05</v>
      </c>
      <c r="F10" t="s">
        <v>334</v>
      </c>
    </row>
    <row r="11" spans="2:6" ht="12.75">
      <c r="B11" t="s">
        <v>106</v>
      </c>
      <c r="D11" s="38">
        <f>PowerTotal</f>
        <v>198.50000000000003</v>
      </c>
      <c r="F11" t="s">
        <v>335</v>
      </c>
    </row>
    <row r="12" spans="2:6" ht="12.75">
      <c r="B12" t="s">
        <v>17</v>
      </c>
      <c r="D12" s="38">
        <f>ToolTotal</f>
        <v>56.519999999999996</v>
      </c>
      <c r="F12" t="s">
        <v>336</v>
      </c>
    </row>
    <row r="13" ht="12.75">
      <c r="D13" s="38"/>
    </row>
    <row r="14" spans="2:4" ht="12.75">
      <c r="B14" s="4" t="s">
        <v>280</v>
      </c>
      <c r="D14" s="47">
        <f>SUM(D6:D12)</f>
        <v>2896.565</v>
      </c>
    </row>
    <row r="15" ht="12.75">
      <c r="D15" s="38"/>
    </row>
    <row r="17" ht="12.75">
      <c r="A17" s="45" t="s">
        <v>228</v>
      </c>
    </row>
    <row r="18" spans="2:4" ht="12.75">
      <c r="B18" t="s">
        <v>367</v>
      </c>
      <c r="D18" s="38">
        <f>ComputerTotal</f>
        <v>2475</v>
      </c>
    </row>
    <row r="19" spans="2:4" ht="12.75">
      <c r="B19" t="s">
        <v>343</v>
      </c>
      <c r="D19" s="38">
        <f>CabinetTotal</f>
        <v>629.81</v>
      </c>
    </row>
    <row r="20" spans="2:4" ht="12.75">
      <c r="B20" t="s">
        <v>232</v>
      </c>
      <c r="D20" s="38">
        <f>BoardTotal</f>
        <v>1244</v>
      </c>
    </row>
    <row r="21" ht="12.75">
      <c r="D21" s="38"/>
    </row>
    <row r="22" spans="2:4" ht="12.75">
      <c r="B22" s="4" t="s">
        <v>281</v>
      </c>
      <c r="D22" s="47">
        <f>SUM(D18:D21)</f>
        <v>4348.8099999999995</v>
      </c>
    </row>
    <row r="23" ht="12.75">
      <c r="D23" s="38"/>
    </row>
    <row r="24" ht="12.75">
      <c r="A24" s="45" t="s">
        <v>229</v>
      </c>
    </row>
    <row r="25" spans="2:6" ht="12.75">
      <c r="B25" t="s">
        <v>368</v>
      </c>
      <c r="D25" s="46">
        <f>LayoutTotal</f>
        <v>1633</v>
      </c>
      <c r="F25" t="s">
        <v>363</v>
      </c>
    </row>
    <row r="26" ht="12.75">
      <c r="D26" s="39"/>
    </row>
    <row r="27" ht="12.75">
      <c r="D27" s="39"/>
    </row>
    <row r="28" spans="2:4" ht="12.75">
      <c r="B28" s="4" t="s">
        <v>72</v>
      </c>
      <c r="D28" s="46">
        <f>D14+D22+D25</f>
        <v>8878.375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D11" sqref="D11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.7109375" style="0" customWidth="1"/>
    <col min="4" max="4" width="15.140625" style="0" customWidth="1"/>
    <col min="5" max="5" width="40.7109375" style="0" customWidth="1"/>
    <col min="6" max="7" width="9.7109375" style="0" customWidth="1"/>
    <col min="8" max="8" width="10.00390625" style="0" customWidth="1"/>
  </cols>
  <sheetData>
    <row r="1" ht="12.75">
      <c r="B1" s="1" t="s">
        <v>203</v>
      </c>
    </row>
    <row r="2" ht="12.75">
      <c r="B2" s="1"/>
    </row>
    <row r="3" spans="2:7" ht="12.75">
      <c r="B3" s="1"/>
      <c r="C3" s="1"/>
      <c r="D3" s="1" t="s">
        <v>191</v>
      </c>
      <c r="E3" s="1"/>
      <c r="F3" s="4" t="s">
        <v>5</v>
      </c>
      <c r="G3" s="4" t="s">
        <v>7</v>
      </c>
    </row>
    <row r="4" spans="2:7" ht="12.75">
      <c r="B4" s="1"/>
      <c r="C4" s="1"/>
      <c r="D4" s="1" t="s">
        <v>192</v>
      </c>
      <c r="E4" s="1"/>
      <c r="F4" s="4"/>
      <c r="G4" s="4"/>
    </row>
    <row r="5" spans="2:7" ht="12.75">
      <c r="B5" s="4" t="s">
        <v>2</v>
      </c>
      <c r="C5" s="1"/>
      <c r="D5" s="1" t="s">
        <v>1</v>
      </c>
      <c r="E5" s="1" t="s">
        <v>193</v>
      </c>
      <c r="F5" s="4" t="s">
        <v>6</v>
      </c>
      <c r="G5" s="4" t="s">
        <v>5</v>
      </c>
    </row>
    <row r="7" spans="1:7" ht="12.75">
      <c r="A7" s="42">
        <v>1</v>
      </c>
      <c r="B7" s="27">
        <f>CEILING((BlockBoards+TurnBoards)/4,1)</f>
        <v>2</v>
      </c>
      <c r="C7" s="28"/>
      <c r="D7" s="28" t="s">
        <v>190</v>
      </c>
      <c r="E7" s="28" t="s">
        <v>340</v>
      </c>
      <c r="F7" s="29">
        <v>249</v>
      </c>
      <c r="G7" s="30">
        <f aca="true" t="shared" si="0" ref="G7:G12">B7*F7</f>
        <v>498</v>
      </c>
    </row>
    <row r="8" spans="1:7" ht="12.75">
      <c r="A8" s="42">
        <f>A7+1</f>
        <v>2</v>
      </c>
      <c r="B8" s="14">
        <f>CEILING(NumHalls/32,1)</f>
        <v>2</v>
      </c>
      <c r="C8" s="15"/>
      <c r="D8" s="15" t="s">
        <v>194</v>
      </c>
      <c r="E8" s="15" t="s">
        <v>195</v>
      </c>
      <c r="F8" s="17">
        <v>149</v>
      </c>
      <c r="G8" s="18">
        <f t="shared" si="0"/>
        <v>298</v>
      </c>
    </row>
    <row r="9" spans="1:7" ht="12.75">
      <c r="A9" s="42">
        <f>A8+1</f>
        <v>3</v>
      </c>
      <c r="B9" s="14">
        <f>CabBoards</f>
        <v>1</v>
      </c>
      <c r="C9" s="15"/>
      <c r="D9" s="15" t="s">
        <v>196</v>
      </c>
      <c r="E9" s="15" t="s">
        <v>198</v>
      </c>
      <c r="F9" s="17">
        <v>199</v>
      </c>
      <c r="G9" s="18">
        <f t="shared" si="0"/>
        <v>199</v>
      </c>
    </row>
    <row r="10" spans="1:7" ht="12.75">
      <c r="A10" s="42">
        <f>A9+1</f>
        <v>4</v>
      </c>
      <c r="B10" s="14">
        <f>2*CabBoards</f>
        <v>2</v>
      </c>
      <c r="C10" s="15"/>
      <c r="D10" s="15" t="s">
        <v>197</v>
      </c>
      <c r="E10" s="15" t="s">
        <v>199</v>
      </c>
      <c r="F10" s="17">
        <v>50</v>
      </c>
      <c r="G10" s="18">
        <f t="shared" si="0"/>
        <v>100</v>
      </c>
    </row>
    <row r="11" spans="1:7" ht="12.75">
      <c r="A11" s="42">
        <f>A10+1</f>
        <v>5</v>
      </c>
      <c r="B11" s="14">
        <f>CabBoards</f>
        <v>1</v>
      </c>
      <c r="C11" s="15"/>
      <c r="D11" s="15" t="s">
        <v>201</v>
      </c>
      <c r="E11" s="15" t="s">
        <v>200</v>
      </c>
      <c r="F11" s="17">
        <v>149</v>
      </c>
      <c r="G11" s="18">
        <f t="shared" si="0"/>
        <v>149</v>
      </c>
    </row>
    <row r="12" spans="1:7" ht="12.75">
      <c r="A12" s="42">
        <f>A11+1</f>
        <v>6</v>
      </c>
      <c r="B12" s="21">
        <v>1</v>
      </c>
      <c r="C12" s="22"/>
      <c r="D12" s="22"/>
      <c r="E12" s="22" t="s">
        <v>238</v>
      </c>
      <c r="F12" s="23">
        <v>310</v>
      </c>
      <c r="G12" s="24">
        <f t="shared" si="0"/>
        <v>310</v>
      </c>
    </row>
    <row r="14" spans="6:7" ht="12.75">
      <c r="F14" s="4" t="s">
        <v>7</v>
      </c>
      <c r="G14" s="5">
        <f>SUM(G7:G11)</f>
        <v>1244</v>
      </c>
    </row>
    <row r="15" spans="6:7" ht="12.75">
      <c r="F15" s="4"/>
      <c r="G15" s="5"/>
    </row>
    <row r="16" spans="5:7" ht="12.75">
      <c r="E16" t="s">
        <v>331</v>
      </c>
      <c r="F16" s="4"/>
      <c r="G16" s="5"/>
    </row>
    <row r="17" ht="12.75">
      <c r="E17" t="s">
        <v>332</v>
      </c>
    </row>
    <row r="18" spans="5:7" ht="12.75">
      <c r="E18" t="s">
        <v>337</v>
      </c>
      <c r="F18" s="4"/>
      <c r="G18" s="5"/>
    </row>
    <row r="19" spans="5:7" ht="12.75">
      <c r="E19" t="s">
        <v>338</v>
      </c>
      <c r="F19" s="4"/>
      <c r="G19" s="5"/>
    </row>
    <row r="20" spans="5:7" ht="12.75">
      <c r="E20" t="s">
        <v>339</v>
      </c>
      <c r="F20" s="4"/>
      <c r="G20" s="5"/>
    </row>
    <row r="21" spans="5:7" ht="12.75">
      <c r="E21" t="s">
        <v>359</v>
      </c>
      <c r="F21" s="4"/>
      <c r="G21" s="5"/>
    </row>
    <row r="22" spans="5:8" ht="12.75">
      <c r="E22" t="s">
        <v>360</v>
      </c>
      <c r="F22" s="50">
        <f>BlockBoards+TurnBoards</f>
        <v>5</v>
      </c>
      <c r="G22" s="15" t="s">
        <v>361</v>
      </c>
      <c r="H22" s="15"/>
    </row>
    <row r="23" spans="6:8" ht="12.75">
      <c r="F23" s="50"/>
      <c r="G23" s="15"/>
      <c r="H23" s="15"/>
    </row>
    <row r="24" spans="5:8" ht="12.75">
      <c r="E24" t="s">
        <v>358</v>
      </c>
      <c r="F24" s="50"/>
      <c r="G24" s="15"/>
      <c r="H24" s="15"/>
    </row>
    <row r="25" spans="5:8" ht="12.75">
      <c r="E25" t="s">
        <v>357</v>
      </c>
      <c r="F25" s="50"/>
      <c r="G25" s="15"/>
      <c r="H25" s="15"/>
    </row>
    <row r="26" spans="6:7" ht="12.75">
      <c r="F26" s="4"/>
      <c r="G26" s="5"/>
    </row>
    <row r="27" ht="12.75">
      <c r="E27" t="s">
        <v>211</v>
      </c>
    </row>
    <row r="28" ht="12.75">
      <c r="E28" t="s">
        <v>212</v>
      </c>
    </row>
    <row r="29" ht="12.75">
      <c r="E29" t="s">
        <v>213</v>
      </c>
    </row>
    <row r="31" ht="12.75">
      <c r="E31" t="s">
        <v>214</v>
      </c>
    </row>
    <row r="32" ht="12.75">
      <c r="E32" t="s">
        <v>215</v>
      </c>
    </row>
    <row r="34" ht="12.75">
      <c r="E34" t="s">
        <v>217</v>
      </c>
    </row>
    <row r="35" ht="12.75">
      <c r="E35" t="s">
        <v>216</v>
      </c>
    </row>
    <row r="37" ht="12.75">
      <c r="E37" t="s">
        <v>373</v>
      </c>
    </row>
    <row r="38" ht="12.75">
      <c r="E38" t="s">
        <v>374</v>
      </c>
    </row>
    <row r="43" ht="12.75">
      <c r="E43" s="43"/>
    </row>
    <row r="44" ht="12.75">
      <c r="E44" s="43"/>
    </row>
    <row r="45" ht="12.75">
      <c r="E45" s="43"/>
    </row>
    <row r="46" ht="12.75">
      <c r="E46" s="43"/>
    </row>
    <row r="47" ht="12.75">
      <c r="E47" s="43"/>
    </row>
    <row r="48" ht="12.75">
      <c r="E48" s="43"/>
    </row>
  </sheetData>
  <printOptions/>
  <pageMargins left="0.75" right="0.75" top="1" bottom="1" header="0.5" footer="0.5"/>
  <pageSetup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24" sqref="E24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.7109375" style="0" customWidth="1"/>
    <col min="4" max="4" width="18.7109375" style="0" customWidth="1"/>
    <col min="5" max="5" width="40.7109375" style="0" customWidth="1"/>
    <col min="6" max="7" width="9.7109375" style="0" customWidth="1"/>
  </cols>
  <sheetData>
    <row r="1" ht="12.75">
      <c r="B1" s="1" t="s">
        <v>154</v>
      </c>
    </row>
    <row r="3" spans="2:7" ht="12.75">
      <c r="B3" s="11"/>
      <c r="C3" s="11"/>
      <c r="D3" s="11" t="s">
        <v>3</v>
      </c>
      <c r="E3" s="11"/>
      <c r="F3" s="12" t="s">
        <v>5</v>
      </c>
      <c r="G3" s="12" t="s">
        <v>7</v>
      </c>
    </row>
    <row r="4" spans="2:7" ht="12.75">
      <c r="B4" s="12" t="s">
        <v>2</v>
      </c>
      <c r="C4" s="11"/>
      <c r="D4" s="11" t="s">
        <v>1</v>
      </c>
      <c r="E4" s="11" t="s">
        <v>4</v>
      </c>
      <c r="F4" s="12" t="s">
        <v>6</v>
      </c>
      <c r="G4" s="12" t="s">
        <v>5</v>
      </c>
    </row>
    <row r="5" spans="2:7" ht="12.75">
      <c r="B5" s="15"/>
      <c r="C5" s="15"/>
      <c r="D5" s="15"/>
      <c r="E5" s="15"/>
      <c r="F5" s="15"/>
      <c r="G5" s="15"/>
    </row>
    <row r="6" spans="1:7" ht="12.75">
      <c r="A6" s="42">
        <v>1</v>
      </c>
      <c r="B6" s="27">
        <v>1</v>
      </c>
      <c r="C6" s="28"/>
      <c r="D6" s="28" t="s">
        <v>248</v>
      </c>
      <c r="E6" s="28" t="s">
        <v>247</v>
      </c>
      <c r="F6" s="29">
        <v>298.7</v>
      </c>
      <c r="G6" s="30">
        <f aca="true" t="shared" si="0" ref="G6:G11">B6*F6</f>
        <v>298.7</v>
      </c>
    </row>
    <row r="7" spans="1:7" ht="12.75">
      <c r="A7" s="42">
        <f>A6+1</f>
        <v>2</v>
      </c>
      <c r="B7" s="14">
        <v>2</v>
      </c>
      <c r="C7" s="15"/>
      <c r="D7" s="15" t="s">
        <v>155</v>
      </c>
      <c r="E7" s="15" t="s">
        <v>156</v>
      </c>
      <c r="F7" s="17">
        <v>18.22</v>
      </c>
      <c r="G7" s="18">
        <f t="shared" si="0"/>
        <v>36.44</v>
      </c>
    </row>
    <row r="8" spans="1:7" ht="12.75">
      <c r="A8" s="42">
        <f>A7+1</f>
        <v>3</v>
      </c>
      <c r="B8" s="14">
        <v>2</v>
      </c>
      <c r="C8" s="15"/>
      <c r="D8" s="15" t="s">
        <v>166</v>
      </c>
      <c r="E8" s="15" t="s">
        <v>167</v>
      </c>
      <c r="F8" s="17">
        <v>40.98</v>
      </c>
      <c r="G8" s="18">
        <f t="shared" si="0"/>
        <v>81.96</v>
      </c>
    </row>
    <row r="9" spans="1:7" ht="12.75">
      <c r="A9" s="42">
        <f>A8+1</f>
        <v>4</v>
      </c>
      <c r="B9" s="14">
        <v>1</v>
      </c>
      <c r="C9" s="15"/>
      <c r="D9" s="15" t="s">
        <v>157</v>
      </c>
      <c r="E9" s="15" t="s">
        <v>158</v>
      </c>
      <c r="F9" s="17">
        <v>10.53</v>
      </c>
      <c r="G9" s="18">
        <f t="shared" si="0"/>
        <v>10.53</v>
      </c>
    </row>
    <row r="10" spans="1:7" ht="12.75">
      <c r="A10" s="42">
        <f>A9+1</f>
        <v>5</v>
      </c>
      <c r="B10" s="14">
        <v>1</v>
      </c>
      <c r="C10" s="15"/>
      <c r="D10" s="15" t="s">
        <v>159</v>
      </c>
      <c r="E10" s="15" t="s">
        <v>160</v>
      </c>
      <c r="F10" s="17">
        <v>14.28</v>
      </c>
      <c r="G10" s="18">
        <f t="shared" si="0"/>
        <v>14.28</v>
      </c>
    </row>
    <row r="11" spans="1:7" ht="12.75">
      <c r="A11" s="42">
        <f>A10+1</f>
        <v>6</v>
      </c>
      <c r="B11" s="21">
        <v>1</v>
      </c>
      <c r="C11" s="22"/>
      <c r="D11" s="22" t="s">
        <v>164</v>
      </c>
      <c r="E11" s="22" t="s">
        <v>165</v>
      </c>
      <c r="F11" s="23">
        <v>187.9</v>
      </c>
      <c r="G11" s="24">
        <f t="shared" si="0"/>
        <v>187.9</v>
      </c>
    </row>
    <row r="12" spans="2:7" ht="12.75">
      <c r="B12" s="15"/>
      <c r="C12" s="15"/>
      <c r="E12" s="15"/>
      <c r="F12" s="20"/>
      <c r="G12" s="17"/>
    </row>
    <row r="13" spans="2:7" ht="12.75">
      <c r="B13" s="15"/>
      <c r="C13" s="15"/>
      <c r="D13" s="15"/>
      <c r="E13" s="15"/>
      <c r="F13" s="17"/>
      <c r="G13" s="17"/>
    </row>
    <row r="14" spans="2:7" ht="12.75">
      <c r="B14" s="15"/>
      <c r="C14" s="15"/>
      <c r="D14" s="15"/>
      <c r="E14" s="15"/>
      <c r="F14" s="36" t="s">
        <v>7</v>
      </c>
      <c r="G14" s="17">
        <f>SUM(G6:G13)</f>
        <v>629.81</v>
      </c>
    </row>
    <row r="15" spans="2:7" ht="12.75">
      <c r="B15" s="15"/>
      <c r="C15" s="15"/>
      <c r="D15" s="15"/>
      <c r="E15" s="15"/>
      <c r="F15" s="20"/>
      <c r="G15" s="17"/>
    </row>
    <row r="16" spans="2:7" ht="12.75">
      <c r="B16" s="15"/>
      <c r="C16" s="15"/>
      <c r="D16" s="15"/>
      <c r="E16" s="15" t="s">
        <v>346</v>
      </c>
      <c r="F16" s="20"/>
      <c r="G16" s="17"/>
    </row>
    <row r="17" spans="2:7" ht="12.75">
      <c r="B17" s="15"/>
      <c r="C17" s="15"/>
      <c r="D17" s="15"/>
      <c r="E17" s="15" t="s">
        <v>378</v>
      </c>
      <c r="F17" s="17"/>
      <c r="G17" s="17"/>
    </row>
    <row r="18" spans="2:7" ht="12.75">
      <c r="B18" s="15"/>
      <c r="C18" s="15"/>
      <c r="D18" s="15"/>
      <c r="E18" s="15"/>
      <c r="F18" s="17"/>
      <c r="G18" s="17"/>
    </row>
    <row r="19" spans="2:7" ht="12.75">
      <c r="B19" s="15"/>
      <c r="C19" s="15"/>
      <c r="D19" s="15"/>
      <c r="E19" s="15" t="s">
        <v>344</v>
      </c>
      <c r="F19" s="20"/>
      <c r="G19" s="17"/>
    </row>
    <row r="20" spans="2:7" ht="12.75">
      <c r="B20" s="15"/>
      <c r="C20" s="15"/>
      <c r="D20" s="15"/>
      <c r="E20" s="15" t="s">
        <v>345</v>
      </c>
      <c r="F20" s="17"/>
      <c r="G20" s="17"/>
    </row>
    <row r="21" spans="2:7" ht="12.75">
      <c r="B21" s="15"/>
      <c r="C21" s="15"/>
      <c r="D21" s="15"/>
      <c r="E21" s="15"/>
      <c r="F21" s="20"/>
      <c r="G21" s="17"/>
    </row>
    <row r="22" spans="2:7" ht="12.75">
      <c r="B22" s="15"/>
      <c r="C22" s="15"/>
      <c r="D22" s="15"/>
      <c r="E22" s="15"/>
      <c r="F22" s="17"/>
      <c r="G22" s="17"/>
    </row>
    <row r="23" spans="2:7" ht="12.75">
      <c r="B23" s="15"/>
      <c r="C23" s="15"/>
      <c r="D23" s="15"/>
      <c r="E23" s="15"/>
      <c r="F23" s="17"/>
      <c r="G23" s="17"/>
    </row>
    <row r="24" spans="2:7" ht="12.75">
      <c r="B24" s="15"/>
      <c r="C24" s="15"/>
      <c r="D24" s="15"/>
      <c r="E24" s="15"/>
      <c r="F24" s="17"/>
      <c r="G24" s="17"/>
    </row>
    <row r="25" spans="2:7" ht="12.75">
      <c r="B25" s="15"/>
      <c r="C25" s="15"/>
      <c r="D25" s="15"/>
      <c r="E25" s="15"/>
      <c r="F25" s="17"/>
      <c r="G25" s="17"/>
    </row>
    <row r="26" spans="6:7" ht="12.75">
      <c r="F26" s="5"/>
      <c r="G26" s="5"/>
    </row>
  </sheetData>
  <printOptions/>
  <pageMargins left="0.75" right="0.75" top="1" bottom="1" header="0.5" footer="0.5"/>
  <pageSetup horizontalDpi="600" verticalDpi="600" orientation="portrait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I12" sqref="I12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.7109375" style="0" customWidth="1"/>
    <col min="4" max="4" width="40.7109375" style="0" customWidth="1"/>
    <col min="5" max="6" width="9.7109375" style="0" customWidth="1"/>
  </cols>
  <sheetData>
    <row r="1" ht="12.75">
      <c r="B1" s="1" t="s">
        <v>380</v>
      </c>
    </row>
    <row r="3" spans="2:6" ht="12.75">
      <c r="B3" s="1"/>
      <c r="C3" s="1"/>
      <c r="D3" s="1"/>
      <c r="E3" s="4" t="s">
        <v>5</v>
      </c>
      <c r="F3" s="4" t="s">
        <v>7</v>
      </c>
    </row>
    <row r="4" spans="2:6" ht="12.75">
      <c r="B4" s="4" t="s">
        <v>2</v>
      </c>
      <c r="C4" s="1"/>
      <c r="D4" s="1" t="s">
        <v>4</v>
      </c>
      <c r="E4" s="4" t="s">
        <v>6</v>
      </c>
      <c r="F4" s="4" t="s">
        <v>5</v>
      </c>
    </row>
    <row r="6" spans="1:6" ht="12.75">
      <c r="A6" s="42">
        <v>1</v>
      </c>
      <c r="B6" s="27">
        <f>5*NumBlocks</f>
        <v>200</v>
      </c>
      <c r="C6" s="28"/>
      <c r="D6" s="28" t="s">
        <v>379</v>
      </c>
      <c r="E6" s="29">
        <v>1.25</v>
      </c>
      <c r="F6" s="30">
        <f aca="true" t="shared" si="0" ref="F6:F14">B6*E6</f>
        <v>250</v>
      </c>
    </row>
    <row r="7" spans="1:6" ht="12.75">
      <c r="A7" s="42">
        <f aca="true" t="shared" si="1" ref="A7:A14">A6+1</f>
        <v>2</v>
      </c>
      <c r="B7" s="14">
        <f>5*NumBlocks</f>
        <v>200</v>
      </c>
      <c r="C7" s="15"/>
      <c r="D7" s="15" t="s">
        <v>381</v>
      </c>
      <c r="E7" s="17">
        <v>0.67</v>
      </c>
      <c r="F7" s="18">
        <f>B7*E7</f>
        <v>134</v>
      </c>
    </row>
    <row r="8" spans="1:6" ht="12.75">
      <c r="A8" s="42">
        <f t="shared" si="1"/>
        <v>3</v>
      </c>
      <c r="B8" s="14">
        <f>NumTurns</f>
        <v>24</v>
      </c>
      <c r="C8" s="15"/>
      <c r="D8" s="15" t="s">
        <v>230</v>
      </c>
      <c r="E8" s="17">
        <v>16</v>
      </c>
      <c r="F8" s="18">
        <f t="shared" si="0"/>
        <v>384</v>
      </c>
    </row>
    <row r="9" spans="1:6" ht="12.75">
      <c r="A9" s="42">
        <f t="shared" si="1"/>
        <v>4</v>
      </c>
      <c r="B9" s="14">
        <f>NumTurns</f>
        <v>24</v>
      </c>
      <c r="C9" s="15"/>
      <c r="D9" s="15" t="s">
        <v>219</v>
      </c>
      <c r="E9" s="17">
        <v>15</v>
      </c>
      <c r="F9" s="18">
        <f t="shared" si="0"/>
        <v>360</v>
      </c>
    </row>
    <row r="10" spans="1:6" ht="12.75">
      <c r="A10" s="42">
        <f t="shared" si="1"/>
        <v>5</v>
      </c>
      <c r="B10" s="14"/>
      <c r="C10" s="15"/>
      <c r="D10" s="15" t="s">
        <v>382</v>
      </c>
      <c r="E10" s="51">
        <v>0.2</v>
      </c>
      <c r="F10" s="18">
        <f>E10*SUM(F6,F9)</f>
        <v>122</v>
      </c>
    </row>
    <row r="11" spans="1:6" ht="12.75">
      <c r="A11" s="42">
        <f t="shared" si="1"/>
        <v>6</v>
      </c>
      <c r="B11" s="40">
        <v>2</v>
      </c>
      <c r="C11" s="15"/>
      <c r="D11" s="15" t="s">
        <v>231</v>
      </c>
      <c r="E11" s="17">
        <v>4</v>
      </c>
      <c r="F11" s="18">
        <f t="shared" si="0"/>
        <v>8</v>
      </c>
    </row>
    <row r="12" spans="1:8" ht="12.75">
      <c r="A12" s="42">
        <f t="shared" si="1"/>
        <v>7</v>
      </c>
      <c r="B12" s="40">
        <v>3</v>
      </c>
      <c r="C12" s="15"/>
      <c r="D12" s="15" t="s">
        <v>220</v>
      </c>
      <c r="E12" s="17">
        <v>75</v>
      </c>
      <c r="F12" s="18">
        <f t="shared" si="0"/>
        <v>225</v>
      </c>
      <c r="H12" s="52"/>
    </row>
    <row r="13" spans="1:6" ht="12.75">
      <c r="A13" s="42">
        <f t="shared" si="1"/>
        <v>8</v>
      </c>
      <c r="B13" s="40">
        <v>3</v>
      </c>
      <c r="C13" s="15"/>
      <c r="D13" s="15" t="s">
        <v>221</v>
      </c>
      <c r="E13" s="17">
        <v>8</v>
      </c>
      <c r="F13" s="18">
        <f t="shared" si="0"/>
        <v>24</v>
      </c>
    </row>
    <row r="14" spans="1:6" ht="12.75">
      <c r="A14" s="42">
        <f t="shared" si="1"/>
        <v>9</v>
      </c>
      <c r="B14" s="40">
        <v>18</v>
      </c>
      <c r="C14" s="22"/>
      <c r="D14" s="22" t="s">
        <v>222</v>
      </c>
      <c r="E14" s="23">
        <v>7</v>
      </c>
      <c r="F14" s="24">
        <f t="shared" si="0"/>
        <v>126</v>
      </c>
    </row>
    <row r="15" spans="5:6" ht="12.75">
      <c r="E15" s="5"/>
      <c r="F15" s="5"/>
    </row>
    <row r="16" spans="1:4" ht="12.75">
      <c r="A16" s="42"/>
      <c r="D16" s="52" t="s">
        <v>258</v>
      </c>
    </row>
    <row r="17" spans="4:6" ht="12.75">
      <c r="D17" s="52" t="s">
        <v>259</v>
      </c>
      <c r="E17" s="4" t="s">
        <v>7</v>
      </c>
      <c r="F17" s="5">
        <f>SUM(F6:F16)</f>
        <v>1633</v>
      </c>
    </row>
  </sheetData>
  <printOptions/>
  <pageMargins left="0.75" right="0.75" top="1" bottom="1" header="0.5" footer="0.5"/>
  <pageSetup horizontalDpi="600" verticalDpi="600" orientation="portrait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6"/>
  <sheetViews>
    <sheetView workbookViewId="0" topLeftCell="A1">
      <selection activeCell="C3" sqref="C3"/>
    </sheetView>
  </sheetViews>
  <sheetFormatPr defaultColWidth="9.140625" defaultRowHeight="12.75"/>
  <cols>
    <col min="1" max="1" width="5.7109375" style="0" customWidth="1"/>
  </cols>
  <sheetData>
    <row r="1" ht="12.75">
      <c r="B1" s="1" t="s">
        <v>136</v>
      </c>
    </row>
    <row r="3" spans="2:8" ht="12.75">
      <c r="B3" t="s">
        <v>0</v>
      </c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</row>
    <row r="4" spans="2:8" ht="12.75">
      <c r="B4" t="s">
        <v>5</v>
      </c>
      <c r="C4" s="26">
        <v>158</v>
      </c>
      <c r="D4" s="26">
        <v>94</v>
      </c>
      <c r="E4" s="26">
        <v>72</v>
      </c>
      <c r="F4" s="26">
        <v>67</v>
      </c>
      <c r="G4" s="26">
        <v>56</v>
      </c>
      <c r="H4" s="26">
        <v>46</v>
      </c>
    </row>
    <row r="6" ht="12.75">
      <c r="J6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70">
      <selection activeCell="D104" sqref="D104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.7109375" style="0" customWidth="1"/>
    <col min="4" max="4" width="18.7109375" style="0" customWidth="1"/>
    <col min="5" max="5" width="40.7109375" style="0" customWidth="1"/>
    <col min="6" max="7" width="9.7109375" style="0" customWidth="1"/>
  </cols>
  <sheetData>
    <row r="1" ht="12.75">
      <c r="B1" s="1" t="s">
        <v>16</v>
      </c>
    </row>
    <row r="3" spans="2:6" ht="12.75">
      <c r="B3" s="3">
        <f>[0]!NumBlocks</f>
        <v>40</v>
      </c>
      <c r="D3" t="s">
        <v>8</v>
      </c>
      <c r="F3" s="2"/>
    </row>
    <row r="4" spans="2:6" ht="12.75">
      <c r="B4" s="3">
        <f>CEILING(B3/12,1)</f>
        <v>4</v>
      </c>
      <c r="D4" t="s">
        <v>9</v>
      </c>
      <c r="F4" s="2"/>
    </row>
    <row r="6" spans="2:7" ht="12.75">
      <c r="B6" s="6"/>
      <c r="C6" s="7"/>
      <c r="D6" s="7" t="s">
        <v>3</v>
      </c>
      <c r="E6" s="7"/>
      <c r="F6" s="8" t="s">
        <v>5</v>
      </c>
      <c r="G6" s="9" t="s">
        <v>7</v>
      </c>
    </row>
    <row r="7" spans="2:7" ht="12.75">
      <c r="B7" s="10" t="s">
        <v>2</v>
      </c>
      <c r="C7" s="11"/>
      <c r="D7" s="11" t="s">
        <v>1</v>
      </c>
      <c r="E7" s="11" t="s">
        <v>4</v>
      </c>
      <c r="F7" s="12" t="s">
        <v>6</v>
      </c>
      <c r="G7" s="13" t="s">
        <v>5</v>
      </c>
    </row>
    <row r="8" spans="2:7" ht="12.75">
      <c r="B8" s="14"/>
      <c r="C8" s="15"/>
      <c r="D8" s="15"/>
      <c r="E8" s="15"/>
      <c r="F8" s="15"/>
      <c r="G8" s="16"/>
    </row>
    <row r="9" spans="1:7" ht="12.75">
      <c r="A9" s="42">
        <v>1</v>
      </c>
      <c r="B9" s="14">
        <f>$B$3</f>
        <v>40</v>
      </c>
      <c r="C9" s="15"/>
      <c r="D9" t="s">
        <v>204</v>
      </c>
      <c r="E9" t="s">
        <v>205</v>
      </c>
      <c r="F9" s="20">
        <v>0.305</v>
      </c>
      <c r="G9" s="18">
        <f aca="true" t="shared" si="0" ref="G9:G30">B9*F9</f>
        <v>12.2</v>
      </c>
    </row>
    <row r="10" spans="1:7" ht="12.75">
      <c r="A10" s="42">
        <f aca="true" t="shared" si="1" ref="A10:A47">A9+1</f>
        <v>2</v>
      </c>
      <c r="B10" s="19">
        <f>CEILING($B$3,10)</f>
        <v>40</v>
      </c>
      <c r="C10" s="15"/>
      <c r="D10" t="s">
        <v>242</v>
      </c>
      <c r="E10" t="s">
        <v>243</v>
      </c>
      <c r="F10" s="20">
        <v>0.506</v>
      </c>
      <c r="G10" s="18">
        <f t="shared" si="0"/>
        <v>20.240000000000002</v>
      </c>
    </row>
    <row r="11" spans="1:7" ht="12.75">
      <c r="A11" s="42">
        <f t="shared" si="1"/>
        <v>3</v>
      </c>
      <c r="B11" s="19">
        <f>CEILING($B$3,5)</f>
        <v>40</v>
      </c>
      <c r="C11" s="15"/>
      <c r="D11" t="s">
        <v>242</v>
      </c>
      <c r="E11" t="s">
        <v>244</v>
      </c>
      <c r="F11" s="20">
        <v>0.172</v>
      </c>
      <c r="G11" s="18">
        <f t="shared" si="0"/>
        <v>6.879999999999999</v>
      </c>
    </row>
    <row r="12" spans="1:7" ht="12.75">
      <c r="A12" s="42">
        <f t="shared" si="1"/>
        <v>4</v>
      </c>
      <c r="B12" s="14">
        <f>2*$B$4</f>
        <v>8</v>
      </c>
      <c r="C12" s="15"/>
      <c r="D12" s="15" t="s">
        <v>10</v>
      </c>
      <c r="E12" s="15" t="s">
        <v>11</v>
      </c>
      <c r="F12" s="17">
        <v>0.39</v>
      </c>
      <c r="G12" s="18">
        <f t="shared" si="0"/>
        <v>3.12</v>
      </c>
    </row>
    <row r="13" spans="1:7" ht="12.75">
      <c r="A13" s="42">
        <f t="shared" si="1"/>
        <v>5</v>
      </c>
      <c r="B13" s="14">
        <f>2*$B$4</f>
        <v>8</v>
      </c>
      <c r="C13" s="15"/>
      <c r="D13" s="15" t="s">
        <v>12</v>
      </c>
      <c r="E13" s="15" t="s">
        <v>13</v>
      </c>
      <c r="F13" s="17">
        <v>0.25</v>
      </c>
      <c r="G13" s="18">
        <f t="shared" si="0"/>
        <v>2</v>
      </c>
    </row>
    <row r="14" spans="1:7" ht="12.75">
      <c r="A14" s="42">
        <f t="shared" si="1"/>
        <v>6</v>
      </c>
      <c r="B14" s="19">
        <f>CEILING(6*$B$4+2*$B$3,10)</f>
        <v>110</v>
      </c>
      <c r="C14" s="15"/>
      <c r="D14" s="15" t="s">
        <v>14</v>
      </c>
      <c r="E14" s="15" t="s">
        <v>15</v>
      </c>
      <c r="F14" s="20">
        <v>0.064</v>
      </c>
      <c r="G14" s="18">
        <f t="shared" si="0"/>
        <v>7.04</v>
      </c>
    </row>
    <row r="15" spans="1:7" ht="12.75">
      <c r="A15" s="42">
        <f t="shared" si="1"/>
        <v>7</v>
      </c>
      <c r="B15" s="14">
        <f>$B$4</f>
        <v>4</v>
      </c>
      <c r="C15" s="15"/>
      <c r="D15" s="15" t="s">
        <v>20</v>
      </c>
      <c r="E15" s="15" t="s">
        <v>23</v>
      </c>
      <c r="F15" s="17">
        <v>4.25</v>
      </c>
      <c r="G15" s="18">
        <f t="shared" si="0"/>
        <v>17</v>
      </c>
    </row>
    <row r="16" spans="1:7" ht="12.75">
      <c r="A16" s="42">
        <f t="shared" si="1"/>
        <v>8</v>
      </c>
      <c r="B16" s="14">
        <f>$B$4</f>
        <v>4</v>
      </c>
      <c r="C16" s="15"/>
      <c r="D16" s="15" t="s">
        <v>21</v>
      </c>
      <c r="E16" s="15" t="s">
        <v>22</v>
      </c>
      <c r="F16" s="17">
        <v>0.24</v>
      </c>
      <c r="G16" s="18">
        <f t="shared" si="0"/>
        <v>0.96</v>
      </c>
    </row>
    <row r="17" spans="1:7" ht="12.75">
      <c r="A17" s="42">
        <f t="shared" si="1"/>
        <v>9</v>
      </c>
      <c r="B17" s="14">
        <f>$B$4</f>
        <v>4</v>
      </c>
      <c r="C17" s="15"/>
      <c r="D17" t="s">
        <v>236</v>
      </c>
      <c r="E17" t="s">
        <v>237</v>
      </c>
      <c r="F17" s="5">
        <v>1.56</v>
      </c>
      <c r="G17" s="18">
        <f t="shared" si="0"/>
        <v>6.24</v>
      </c>
    </row>
    <row r="18" spans="1:7" ht="12.75">
      <c r="A18" s="42">
        <f t="shared" si="1"/>
        <v>10</v>
      </c>
      <c r="B18" s="14">
        <f>$B$4</f>
        <v>4</v>
      </c>
      <c r="C18" s="15"/>
      <c r="D18" s="15" t="s">
        <v>68</v>
      </c>
      <c r="E18" s="15" t="s">
        <v>69</v>
      </c>
      <c r="F18" s="17">
        <v>10.79</v>
      </c>
      <c r="G18" s="18">
        <f t="shared" si="0"/>
        <v>43.16</v>
      </c>
    </row>
    <row r="19" spans="1:7" ht="12.75">
      <c r="A19" s="42">
        <f t="shared" si="1"/>
        <v>11</v>
      </c>
      <c r="B19" s="14">
        <f>CEILING(2*$B$4,10)</f>
        <v>10</v>
      </c>
      <c r="C19" s="15"/>
      <c r="D19" s="15" t="s">
        <v>117</v>
      </c>
      <c r="E19" s="15" t="s">
        <v>118</v>
      </c>
      <c r="F19" s="20">
        <v>0.385</v>
      </c>
      <c r="G19" s="18">
        <f t="shared" si="0"/>
        <v>3.85</v>
      </c>
    </row>
    <row r="20" spans="1:7" ht="12.75">
      <c r="A20" s="42">
        <f t="shared" si="1"/>
        <v>12</v>
      </c>
      <c r="B20" s="19">
        <f>CEILING(4*$B$4+$B$3,100)</f>
        <v>100</v>
      </c>
      <c r="C20" s="15"/>
      <c r="D20" t="s">
        <v>119</v>
      </c>
      <c r="E20" t="s">
        <v>120</v>
      </c>
      <c r="F20" s="35">
        <v>0.0192</v>
      </c>
      <c r="G20" s="18">
        <f t="shared" si="0"/>
        <v>1.92</v>
      </c>
    </row>
    <row r="21" spans="1:7" ht="12.75">
      <c r="A21" s="42">
        <f t="shared" si="1"/>
        <v>13</v>
      </c>
      <c r="B21" s="19">
        <f>CEILING(4*$B$4+$B$3,100)</f>
        <v>100</v>
      </c>
      <c r="C21" s="15"/>
      <c r="D21" t="s">
        <v>121</v>
      </c>
      <c r="E21" t="s">
        <v>122</v>
      </c>
      <c r="F21" s="35">
        <v>0.0097</v>
      </c>
      <c r="G21" s="18">
        <f t="shared" si="0"/>
        <v>0.97</v>
      </c>
    </row>
    <row r="22" spans="1:7" ht="12.75">
      <c r="A22" s="42">
        <f t="shared" si="1"/>
        <v>14</v>
      </c>
      <c r="B22" s="19">
        <f>CEILING(4*$B$4+$B$3,100)</f>
        <v>100</v>
      </c>
      <c r="C22" s="15"/>
      <c r="D22" t="s">
        <v>123</v>
      </c>
      <c r="E22" t="s">
        <v>124</v>
      </c>
      <c r="F22" s="35">
        <v>0.0093</v>
      </c>
      <c r="G22" s="18">
        <f t="shared" si="0"/>
        <v>0.9299999999999999</v>
      </c>
    </row>
    <row r="23" spans="1:7" ht="12.75">
      <c r="A23" s="42">
        <f t="shared" si="1"/>
        <v>15</v>
      </c>
      <c r="B23" s="14">
        <f>6*$B$4</f>
        <v>24</v>
      </c>
      <c r="C23" s="15"/>
      <c r="D23" s="15" t="s">
        <v>24</v>
      </c>
      <c r="E23" s="15" t="s">
        <v>25</v>
      </c>
      <c r="F23" s="17">
        <v>0.39</v>
      </c>
      <c r="G23" s="18">
        <f t="shared" si="0"/>
        <v>9.36</v>
      </c>
    </row>
    <row r="24" spans="1:7" ht="12.75">
      <c r="A24" s="42">
        <f t="shared" si="1"/>
        <v>16</v>
      </c>
      <c r="B24" s="14">
        <f>CEILING(0.75*$B$3,1)</f>
        <v>30</v>
      </c>
      <c r="C24" s="15"/>
      <c r="D24" s="15" t="s">
        <v>26</v>
      </c>
      <c r="E24" s="15" t="s">
        <v>27</v>
      </c>
      <c r="F24" s="17">
        <v>0.8</v>
      </c>
      <c r="G24" s="18">
        <f t="shared" si="0"/>
        <v>24</v>
      </c>
    </row>
    <row r="25" spans="1:7" ht="12.75">
      <c r="A25" s="42">
        <f t="shared" si="1"/>
        <v>17</v>
      </c>
      <c r="B25" s="14">
        <f>$B$3</f>
        <v>40</v>
      </c>
      <c r="C25" s="15"/>
      <c r="D25" s="15" t="s">
        <v>28</v>
      </c>
      <c r="E25" s="15" t="s">
        <v>29</v>
      </c>
      <c r="F25" s="17">
        <v>0.72</v>
      </c>
      <c r="G25" s="18">
        <f t="shared" si="0"/>
        <v>28.799999999999997</v>
      </c>
    </row>
    <row r="26" spans="1:7" ht="12.75">
      <c r="A26" s="42">
        <f t="shared" si="1"/>
        <v>18</v>
      </c>
      <c r="B26" s="14">
        <f>4*$B$4</f>
        <v>16</v>
      </c>
      <c r="C26" s="15"/>
      <c r="D26" s="15" t="s">
        <v>30</v>
      </c>
      <c r="E26" s="15" t="s">
        <v>31</v>
      </c>
      <c r="F26" s="53">
        <v>0.61</v>
      </c>
      <c r="G26" s="18">
        <f t="shared" si="0"/>
        <v>9.76</v>
      </c>
    </row>
    <row r="27" spans="1:7" ht="12.75">
      <c r="A27" s="42">
        <f t="shared" si="1"/>
        <v>19</v>
      </c>
      <c r="B27" s="14">
        <f>$B$4</f>
        <v>4</v>
      </c>
      <c r="C27" s="15"/>
      <c r="D27" s="15" t="s">
        <v>32</v>
      </c>
      <c r="E27" s="15" t="s">
        <v>33</v>
      </c>
      <c r="F27" s="17">
        <v>1.14</v>
      </c>
      <c r="G27" s="18">
        <f t="shared" si="0"/>
        <v>4.56</v>
      </c>
    </row>
    <row r="28" spans="1:7" ht="12.75">
      <c r="A28" s="42">
        <f t="shared" si="1"/>
        <v>20</v>
      </c>
      <c r="B28" s="14">
        <f>$B$4</f>
        <v>4</v>
      </c>
      <c r="C28" s="15"/>
      <c r="D28" s="15" t="s">
        <v>34</v>
      </c>
      <c r="E28" s="15" t="s">
        <v>35</v>
      </c>
      <c r="F28" s="17">
        <v>0.62</v>
      </c>
      <c r="G28" s="18">
        <f t="shared" si="0"/>
        <v>2.48</v>
      </c>
    </row>
    <row r="29" spans="1:7" ht="12.75">
      <c r="A29" s="42">
        <f t="shared" si="1"/>
        <v>21</v>
      </c>
      <c r="B29" s="14">
        <f>CEILING(8*B28,10)</f>
        <v>40</v>
      </c>
      <c r="C29" s="15"/>
      <c r="D29" t="s">
        <v>82</v>
      </c>
      <c r="E29" t="s">
        <v>83</v>
      </c>
      <c r="F29" s="20">
        <v>0.067</v>
      </c>
      <c r="G29" s="18">
        <f t="shared" si="0"/>
        <v>2.68</v>
      </c>
    </row>
    <row r="30" spans="1:7" ht="12.75">
      <c r="A30" s="42">
        <f t="shared" si="1"/>
        <v>22</v>
      </c>
      <c r="B30" s="14">
        <f>3*$B$4</f>
        <v>12</v>
      </c>
      <c r="C30" s="15"/>
      <c r="D30" s="15" t="s">
        <v>40</v>
      </c>
      <c r="E30" s="15" t="s">
        <v>41</v>
      </c>
      <c r="F30" s="17">
        <v>3.81</v>
      </c>
      <c r="G30" s="18">
        <f t="shared" si="0"/>
        <v>45.72</v>
      </c>
    </row>
    <row r="31" spans="1:7" ht="12.75">
      <c r="A31" s="42">
        <f t="shared" si="1"/>
        <v>23</v>
      </c>
      <c r="B31" s="14">
        <f>3*$B$4</f>
        <v>12</v>
      </c>
      <c r="C31" s="15"/>
      <c r="D31" s="15" t="s">
        <v>42</v>
      </c>
      <c r="E31" s="15" t="s">
        <v>43</v>
      </c>
      <c r="F31" s="17">
        <v>3.63</v>
      </c>
      <c r="G31" s="18">
        <f aca="true" t="shared" si="2" ref="G31:G47">B31*F31</f>
        <v>43.56</v>
      </c>
    </row>
    <row r="32" spans="1:7" ht="12.75">
      <c r="A32" s="42">
        <f t="shared" si="1"/>
        <v>24</v>
      </c>
      <c r="B32" s="14">
        <f>CEILING(2*$B$4,5)</f>
        <v>10</v>
      </c>
      <c r="C32" s="15"/>
      <c r="D32" s="15" t="s">
        <v>233</v>
      </c>
      <c r="E32" s="15" t="s">
        <v>234</v>
      </c>
      <c r="F32" s="20">
        <v>0.054</v>
      </c>
      <c r="G32" s="18">
        <f t="shared" si="2"/>
        <v>0.54</v>
      </c>
    </row>
    <row r="33" spans="1:7" ht="12.75">
      <c r="A33" s="42">
        <f t="shared" si="1"/>
        <v>25</v>
      </c>
      <c r="B33" s="14">
        <f>CEILING($B$4,5)</f>
        <v>5</v>
      </c>
      <c r="C33" s="15"/>
      <c r="D33" s="15" t="s">
        <v>46</v>
      </c>
      <c r="E33" s="15" t="s">
        <v>47</v>
      </c>
      <c r="F33" s="20">
        <v>0.054</v>
      </c>
      <c r="G33" s="18">
        <f t="shared" si="2"/>
        <v>0.27</v>
      </c>
    </row>
    <row r="34" spans="1:7" ht="12.75">
      <c r="A34" s="42">
        <f t="shared" si="1"/>
        <v>26</v>
      </c>
      <c r="B34" s="14">
        <f>CEILING($B$4,5)</f>
        <v>5</v>
      </c>
      <c r="C34" s="15"/>
      <c r="D34" s="15" t="s">
        <v>48</v>
      </c>
      <c r="E34" s="15" t="s">
        <v>49</v>
      </c>
      <c r="F34" s="20">
        <v>0.054</v>
      </c>
      <c r="G34" s="18">
        <f t="shared" si="2"/>
        <v>0.27</v>
      </c>
    </row>
    <row r="35" spans="1:7" ht="12.75">
      <c r="A35" s="42">
        <f t="shared" si="1"/>
        <v>27</v>
      </c>
      <c r="B35" s="14">
        <f>CEILING(3*$B$3,10)</f>
        <v>120</v>
      </c>
      <c r="C35" s="15"/>
      <c r="D35" s="15" t="s">
        <v>50</v>
      </c>
      <c r="E35" s="15" t="s">
        <v>51</v>
      </c>
      <c r="F35" s="20">
        <v>0.043</v>
      </c>
      <c r="G35" s="18">
        <f t="shared" si="2"/>
        <v>5.159999999999999</v>
      </c>
    </row>
    <row r="36" spans="1:7" ht="12.75">
      <c r="A36" s="42">
        <f t="shared" si="1"/>
        <v>28</v>
      </c>
      <c r="B36" s="14">
        <f>$B$3</f>
        <v>40</v>
      </c>
      <c r="C36" s="15"/>
      <c r="D36" s="15" t="s">
        <v>54</v>
      </c>
      <c r="E36" s="15" t="s">
        <v>55</v>
      </c>
      <c r="F36" s="17">
        <v>0.25</v>
      </c>
      <c r="G36" s="18">
        <f t="shared" si="2"/>
        <v>10</v>
      </c>
    </row>
    <row r="37" spans="1:7" ht="12.75">
      <c r="A37" s="42">
        <f t="shared" si="1"/>
        <v>29</v>
      </c>
      <c r="B37" s="14">
        <f>$B$3</f>
        <v>40</v>
      </c>
      <c r="C37" s="15"/>
      <c r="D37" s="15" t="s">
        <v>52</v>
      </c>
      <c r="E37" s="15" t="s">
        <v>53</v>
      </c>
      <c r="F37" s="17">
        <v>0.21</v>
      </c>
      <c r="G37" s="18">
        <f t="shared" si="2"/>
        <v>8.4</v>
      </c>
    </row>
    <row r="38" spans="1:7" ht="12.75">
      <c r="A38" s="42">
        <f t="shared" si="1"/>
        <v>30</v>
      </c>
      <c r="B38" s="14">
        <f>CEILING($B$3,5)</f>
        <v>40</v>
      </c>
      <c r="C38" s="15"/>
      <c r="D38" s="15" t="s">
        <v>56</v>
      </c>
      <c r="E38" s="15" t="s">
        <v>57</v>
      </c>
      <c r="F38" s="20">
        <v>0.108</v>
      </c>
      <c r="G38" s="18">
        <f t="shared" si="2"/>
        <v>4.32</v>
      </c>
    </row>
    <row r="39" spans="1:7" ht="12.75">
      <c r="A39" s="42">
        <f t="shared" si="1"/>
        <v>31</v>
      </c>
      <c r="B39" s="14">
        <f>CEILING($B$3,5)</f>
        <v>40</v>
      </c>
      <c r="C39" s="15"/>
      <c r="D39" s="15" t="s">
        <v>58</v>
      </c>
      <c r="E39" s="15" t="s">
        <v>59</v>
      </c>
      <c r="F39" s="20">
        <v>0.056</v>
      </c>
      <c r="G39" s="18">
        <f t="shared" si="2"/>
        <v>2.24</v>
      </c>
    </row>
    <row r="40" spans="1:7" ht="12.75">
      <c r="A40" s="42">
        <f t="shared" si="1"/>
        <v>32</v>
      </c>
      <c r="B40" s="14">
        <f>B24+B25+B41</f>
        <v>80</v>
      </c>
      <c r="C40" s="15"/>
      <c r="D40" s="15" t="s">
        <v>60</v>
      </c>
      <c r="E40" s="15" t="s">
        <v>61</v>
      </c>
      <c r="F40" s="20">
        <v>0.577</v>
      </c>
      <c r="G40" s="18">
        <f t="shared" si="2"/>
        <v>46.16</v>
      </c>
    </row>
    <row r="41" spans="1:7" ht="12.75">
      <c r="A41" s="42">
        <f t="shared" si="1"/>
        <v>33</v>
      </c>
      <c r="B41" s="14">
        <f>CEILING($B$3/4,1)</f>
        <v>10</v>
      </c>
      <c r="C41" s="15"/>
      <c r="D41" s="15" t="s">
        <v>62</v>
      </c>
      <c r="E41" s="15" t="s">
        <v>63</v>
      </c>
      <c r="F41" s="17">
        <v>0.5</v>
      </c>
      <c r="G41" s="18">
        <f t="shared" si="2"/>
        <v>5</v>
      </c>
    </row>
    <row r="42" spans="1:7" ht="12.75">
      <c r="A42" s="42">
        <f t="shared" si="1"/>
        <v>34</v>
      </c>
      <c r="B42" s="14">
        <f>$B$3</f>
        <v>40</v>
      </c>
      <c r="C42" s="15"/>
      <c r="D42" s="15" t="s">
        <v>64</v>
      </c>
      <c r="E42" s="15" t="s">
        <v>65</v>
      </c>
      <c r="F42" s="20">
        <v>1.161</v>
      </c>
      <c r="G42" s="18">
        <f t="shared" si="2"/>
        <v>46.44</v>
      </c>
    </row>
    <row r="43" spans="1:7" ht="12.75">
      <c r="A43" s="42">
        <f t="shared" si="1"/>
        <v>35</v>
      </c>
      <c r="B43" s="14">
        <f>$B$3</f>
        <v>40</v>
      </c>
      <c r="C43" s="15"/>
      <c r="D43" s="15" t="s">
        <v>66</v>
      </c>
      <c r="E43" s="15" t="s">
        <v>67</v>
      </c>
      <c r="F43" s="17">
        <v>0.23</v>
      </c>
      <c r="G43" s="18">
        <f t="shared" si="2"/>
        <v>9.200000000000001</v>
      </c>
    </row>
    <row r="44" spans="1:7" ht="12.75">
      <c r="A44" s="42">
        <f t="shared" si="1"/>
        <v>36</v>
      </c>
      <c r="B44" s="14">
        <f>$B$4</f>
        <v>4</v>
      </c>
      <c r="C44" s="15"/>
      <c r="D44" s="15" t="s">
        <v>68</v>
      </c>
      <c r="E44" s="15" t="s">
        <v>69</v>
      </c>
      <c r="F44" s="17">
        <v>10.79</v>
      </c>
      <c r="G44" s="18">
        <f t="shared" si="2"/>
        <v>43.16</v>
      </c>
    </row>
    <row r="45" spans="1:7" ht="12.75">
      <c r="A45" s="42">
        <f t="shared" si="1"/>
        <v>37</v>
      </c>
      <c r="B45" s="14">
        <f>CEILING(20*$B$3,500)/500</f>
        <v>2</v>
      </c>
      <c r="C45" s="15"/>
      <c r="D45" s="15" t="s">
        <v>70</v>
      </c>
      <c r="E45" s="15" t="s">
        <v>71</v>
      </c>
      <c r="F45" s="17">
        <v>24.07</v>
      </c>
      <c r="G45" s="18">
        <f t="shared" si="2"/>
        <v>48.14</v>
      </c>
    </row>
    <row r="46" spans="1:7" ht="12.75">
      <c r="A46" s="42">
        <f t="shared" si="1"/>
        <v>38</v>
      </c>
      <c r="B46" s="14">
        <f>$B$3</f>
        <v>40</v>
      </c>
      <c r="C46" s="15"/>
      <c r="D46" s="15" t="s">
        <v>115</v>
      </c>
      <c r="E46" s="15" t="s">
        <v>116</v>
      </c>
      <c r="F46" s="20">
        <v>0.4</v>
      </c>
      <c r="G46" s="18">
        <f t="shared" si="2"/>
        <v>16</v>
      </c>
    </row>
    <row r="47" spans="1:7" ht="12.75">
      <c r="A47" s="42">
        <f t="shared" si="1"/>
        <v>39</v>
      </c>
      <c r="B47" s="21">
        <f>$B$3</f>
        <v>40</v>
      </c>
      <c r="C47" s="22"/>
      <c r="D47" s="22" t="s">
        <v>75</v>
      </c>
      <c r="E47" s="22" t="s">
        <v>76</v>
      </c>
      <c r="F47" s="23">
        <v>3.93</v>
      </c>
      <c r="G47" s="24">
        <f t="shared" si="2"/>
        <v>157.20000000000002</v>
      </c>
    </row>
    <row r="48" spans="6:7" ht="12.75">
      <c r="F48" s="5"/>
      <c r="G48" s="5"/>
    </row>
    <row r="49" spans="2:7" ht="12.75">
      <c r="B49" s="27">
        <f>$B$4</f>
        <v>4</v>
      </c>
      <c r="C49" s="28"/>
      <c r="D49" s="28"/>
      <c r="E49" s="28" t="s">
        <v>73</v>
      </c>
      <c r="F49" s="29">
        <v>44</v>
      </c>
      <c r="G49" s="30">
        <f>B49*F49</f>
        <v>176</v>
      </c>
    </row>
    <row r="50" spans="2:7" ht="12.75">
      <c r="B50" s="21">
        <f>$B$4</f>
        <v>4</v>
      </c>
      <c r="C50" s="22"/>
      <c r="D50" s="22"/>
      <c r="E50" s="22" t="s">
        <v>74</v>
      </c>
      <c r="F50" s="23">
        <v>44</v>
      </c>
      <c r="G50" s="24">
        <f>B50*F50</f>
        <v>176</v>
      </c>
    </row>
    <row r="53" spans="6:7" ht="12.75">
      <c r="F53" s="4" t="s">
        <v>7</v>
      </c>
      <c r="G53" s="5">
        <f>SUM(G12:G52)</f>
        <v>1012.61</v>
      </c>
    </row>
  </sheetData>
  <printOptions/>
  <pageMargins left="0.75" right="0.75" top="1" bottom="1" header="0.5" footer="0.5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6">
      <selection activeCell="J18" sqref="J18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.7109375" style="0" customWidth="1"/>
    <col min="4" max="4" width="18.7109375" style="0" customWidth="1"/>
    <col min="5" max="5" width="40.7109375" style="0" customWidth="1"/>
    <col min="6" max="7" width="9.7109375" style="0" customWidth="1"/>
  </cols>
  <sheetData>
    <row r="1" ht="12.75">
      <c r="B1" s="1" t="s">
        <v>133</v>
      </c>
    </row>
    <row r="3" spans="2:6" ht="12.75">
      <c r="B3" s="3">
        <f>NumTurns</f>
        <v>24</v>
      </c>
      <c r="D3" t="s">
        <v>77</v>
      </c>
      <c r="F3" s="2"/>
    </row>
    <row r="4" spans="2:6" ht="12.75">
      <c r="B4" s="3">
        <f>CEILING(B3/24,1)</f>
        <v>1</v>
      </c>
      <c r="D4" t="s">
        <v>95</v>
      </c>
      <c r="F4" s="2"/>
    </row>
    <row r="6" spans="2:7" ht="12.75">
      <c r="B6" s="6"/>
      <c r="C6" s="7"/>
      <c r="D6" s="7" t="s">
        <v>3</v>
      </c>
      <c r="E6" s="7"/>
      <c r="F6" s="8" t="s">
        <v>5</v>
      </c>
      <c r="G6" s="9" t="s">
        <v>7</v>
      </c>
    </row>
    <row r="7" spans="2:7" ht="12.75">
      <c r="B7" s="10" t="s">
        <v>2</v>
      </c>
      <c r="C7" s="11"/>
      <c r="D7" s="11" t="s">
        <v>1</v>
      </c>
      <c r="E7" s="11" t="s">
        <v>4</v>
      </c>
      <c r="F7" s="12" t="s">
        <v>6</v>
      </c>
      <c r="G7" s="13" t="s">
        <v>5</v>
      </c>
    </row>
    <row r="8" spans="2:7" ht="12.75">
      <c r="B8" s="14"/>
      <c r="C8" s="15"/>
      <c r="D8" s="15"/>
      <c r="E8" s="15"/>
      <c r="F8" s="15"/>
      <c r="G8" s="16"/>
    </row>
    <row r="9" spans="1:7" ht="12.75">
      <c r="A9" s="42">
        <v>1</v>
      </c>
      <c r="B9" s="14">
        <f>$B$4</f>
        <v>1</v>
      </c>
      <c r="C9" s="15"/>
      <c r="D9" s="15" t="s">
        <v>10</v>
      </c>
      <c r="E9" s="15" t="s">
        <v>11</v>
      </c>
      <c r="F9" s="17">
        <v>0.39</v>
      </c>
      <c r="G9" s="18">
        <f aca="true" t="shared" si="0" ref="G9:G29">B9*F9</f>
        <v>0.39</v>
      </c>
    </row>
    <row r="10" spans="1:7" ht="12.75">
      <c r="A10" s="42">
        <f>A9+1</f>
        <v>2</v>
      </c>
      <c r="B10" s="14">
        <f>$B$4</f>
        <v>1</v>
      </c>
      <c r="C10" s="15"/>
      <c r="D10" s="15" t="s">
        <v>12</v>
      </c>
      <c r="E10" s="15" t="s">
        <v>13</v>
      </c>
      <c r="F10" s="17">
        <v>0.33</v>
      </c>
      <c r="G10" s="18">
        <f t="shared" si="0"/>
        <v>0.33</v>
      </c>
    </row>
    <row r="11" spans="1:7" ht="12.75">
      <c r="A11" s="42">
        <f aca="true" t="shared" si="1" ref="A11:A31">A10+1</f>
        <v>3</v>
      </c>
      <c r="B11" s="19">
        <f>CEILING(3*$B$4,10)</f>
        <v>10</v>
      </c>
      <c r="C11" s="15"/>
      <c r="D11" s="15" t="s">
        <v>14</v>
      </c>
      <c r="E11" s="15" t="s">
        <v>15</v>
      </c>
      <c r="F11" s="20">
        <v>0.064</v>
      </c>
      <c r="G11" s="18">
        <f t="shared" si="0"/>
        <v>0.64</v>
      </c>
    </row>
    <row r="12" spans="1:7" ht="12.75">
      <c r="A12" s="42">
        <f t="shared" si="1"/>
        <v>4</v>
      </c>
      <c r="B12" s="14">
        <f>$B$4</f>
        <v>1</v>
      </c>
      <c r="C12" s="15"/>
      <c r="D12" s="15" t="s">
        <v>20</v>
      </c>
      <c r="E12" s="15" t="s">
        <v>23</v>
      </c>
      <c r="F12" s="17">
        <v>4.25</v>
      </c>
      <c r="G12" s="18">
        <f t="shared" si="0"/>
        <v>4.25</v>
      </c>
    </row>
    <row r="13" spans="1:7" ht="12.75">
      <c r="A13" s="42">
        <f t="shared" si="1"/>
        <v>5</v>
      </c>
      <c r="B13" s="14">
        <f>$B$4</f>
        <v>1</v>
      </c>
      <c r="C13" s="15"/>
      <c r="D13" s="15" t="s">
        <v>21</v>
      </c>
      <c r="E13" s="15" t="s">
        <v>22</v>
      </c>
      <c r="F13" s="17">
        <v>0.24</v>
      </c>
      <c r="G13" s="18">
        <f t="shared" si="0"/>
        <v>0.24</v>
      </c>
    </row>
    <row r="14" spans="1:7" ht="12.75">
      <c r="A14" s="42">
        <f t="shared" si="1"/>
        <v>6</v>
      </c>
      <c r="B14" s="14">
        <f>$B$4</f>
        <v>1</v>
      </c>
      <c r="C14" s="15"/>
      <c r="D14" t="s">
        <v>236</v>
      </c>
      <c r="E14" t="s">
        <v>237</v>
      </c>
      <c r="F14" s="5">
        <v>1.56</v>
      </c>
      <c r="G14" s="18">
        <f t="shared" si="0"/>
        <v>1.56</v>
      </c>
    </row>
    <row r="15" spans="1:7" ht="12.75">
      <c r="A15" s="42">
        <f t="shared" si="1"/>
        <v>7</v>
      </c>
      <c r="B15" s="14">
        <f>2*$B$4</f>
        <v>2</v>
      </c>
      <c r="C15" s="15"/>
      <c r="D15" s="15" t="s">
        <v>30</v>
      </c>
      <c r="E15" s="15" t="s">
        <v>31</v>
      </c>
      <c r="F15" s="17">
        <v>0.61</v>
      </c>
      <c r="G15" s="18">
        <f t="shared" si="0"/>
        <v>1.22</v>
      </c>
    </row>
    <row r="16" spans="1:7" ht="12.75">
      <c r="A16" s="42">
        <f t="shared" si="1"/>
        <v>8</v>
      </c>
      <c r="B16" s="14">
        <f>CEILING($B$3/4,1)</f>
        <v>6</v>
      </c>
      <c r="C16" s="15"/>
      <c r="D16" s="15" t="s">
        <v>78</v>
      </c>
      <c r="E16" s="15" t="s">
        <v>79</v>
      </c>
      <c r="F16" s="17">
        <v>1.34</v>
      </c>
      <c r="G16" s="18">
        <f t="shared" si="0"/>
        <v>8.040000000000001</v>
      </c>
    </row>
    <row r="17" spans="1:7" ht="12.75">
      <c r="A17" s="42">
        <f t="shared" si="1"/>
        <v>9</v>
      </c>
      <c r="B17" s="14">
        <f>CEILING($B$3/4,1)</f>
        <v>6</v>
      </c>
      <c r="C17" s="15"/>
      <c r="D17" s="15" t="s">
        <v>80</v>
      </c>
      <c r="E17" s="15" t="s">
        <v>81</v>
      </c>
      <c r="F17" s="17">
        <v>0.85</v>
      </c>
      <c r="G17" s="18">
        <f t="shared" si="0"/>
        <v>5.1</v>
      </c>
    </row>
    <row r="18" spans="1:7" ht="12.75">
      <c r="A18" s="42">
        <f t="shared" si="1"/>
        <v>10</v>
      </c>
      <c r="B18" s="14">
        <f>CEILING(12*B17,10)</f>
        <v>80</v>
      </c>
      <c r="C18" s="15"/>
      <c r="D18" s="15" t="s">
        <v>82</v>
      </c>
      <c r="E18" s="15" t="s">
        <v>83</v>
      </c>
      <c r="F18" s="20">
        <v>0.067</v>
      </c>
      <c r="G18" s="18">
        <f t="shared" si="0"/>
        <v>5.36</v>
      </c>
    </row>
    <row r="19" spans="1:7" ht="12.75">
      <c r="A19" s="42">
        <f t="shared" si="1"/>
        <v>11</v>
      </c>
      <c r="B19" s="14">
        <f>CEILING($B$4,5)</f>
        <v>5</v>
      </c>
      <c r="C19" s="15"/>
      <c r="D19" s="15" t="s">
        <v>233</v>
      </c>
      <c r="E19" s="15" t="s">
        <v>234</v>
      </c>
      <c r="F19" s="20">
        <v>0.054</v>
      </c>
      <c r="G19" s="18">
        <f t="shared" si="0"/>
        <v>0.27</v>
      </c>
    </row>
    <row r="20" spans="1:7" ht="12.75">
      <c r="A20" s="42">
        <f t="shared" si="1"/>
        <v>12</v>
      </c>
      <c r="B20" s="14">
        <f>CEILING($B$4,5)</f>
        <v>5</v>
      </c>
      <c r="C20" s="15"/>
      <c r="D20" s="15" t="s">
        <v>84</v>
      </c>
      <c r="E20" s="15" t="s">
        <v>235</v>
      </c>
      <c r="F20" s="20">
        <v>0.054</v>
      </c>
      <c r="G20" s="18">
        <f t="shared" si="0"/>
        <v>0.27</v>
      </c>
    </row>
    <row r="21" spans="1:7" ht="12.75">
      <c r="A21" s="42">
        <f t="shared" si="1"/>
        <v>13</v>
      </c>
      <c r="B21" s="14">
        <f>CEILING($B$3/2,1)</f>
        <v>12</v>
      </c>
      <c r="C21" s="15"/>
      <c r="D21" s="15" t="s">
        <v>85</v>
      </c>
      <c r="E21" s="15" t="s">
        <v>86</v>
      </c>
      <c r="F21" s="17">
        <v>1.88</v>
      </c>
      <c r="G21" s="18">
        <f t="shared" si="0"/>
        <v>22.56</v>
      </c>
    </row>
    <row r="22" spans="1:7" ht="12.75">
      <c r="A22" s="42">
        <f t="shared" si="1"/>
        <v>14</v>
      </c>
      <c r="B22" s="14">
        <f>CEILING($B$3/2,2)</f>
        <v>12</v>
      </c>
      <c r="C22" s="15"/>
      <c r="D22" t="s">
        <v>310</v>
      </c>
      <c r="E22" t="s">
        <v>311</v>
      </c>
      <c r="F22" s="5">
        <v>0.48</v>
      </c>
      <c r="G22" s="18">
        <f t="shared" si="0"/>
        <v>5.76</v>
      </c>
    </row>
    <row r="23" spans="1:7" ht="12.75">
      <c r="A23" s="42">
        <f t="shared" si="1"/>
        <v>15</v>
      </c>
      <c r="B23" s="14">
        <f>CEILING($B$3/2,2)</f>
        <v>12</v>
      </c>
      <c r="C23" s="15"/>
      <c r="D23" s="15" t="s">
        <v>89</v>
      </c>
      <c r="E23" s="15" t="s">
        <v>90</v>
      </c>
      <c r="F23" s="17">
        <v>0.93</v>
      </c>
      <c r="G23" s="18">
        <f t="shared" si="0"/>
        <v>11.16</v>
      </c>
    </row>
    <row r="24" spans="1:7" ht="12.75">
      <c r="A24" s="42">
        <f t="shared" si="1"/>
        <v>16</v>
      </c>
      <c r="B24" s="14">
        <f>B21+B23/2</f>
        <v>18</v>
      </c>
      <c r="C24" s="15"/>
      <c r="D24" s="15" t="s">
        <v>60</v>
      </c>
      <c r="E24" s="15" t="s">
        <v>61</v>
      </c>
      <c r="F24" s="17">
        <v>0.83</v>
      </c>
      <c r="G24" s="18">
        <f t="shared" si="0"/>
        <v>14.94</v>
      </c>
    </row>
    <row r="25" spans="1:7" ht="12.75">
      <c r="A25" s="42">
        <f t="shared" si="1"/>
        <v>17</v>
      </c>
      <c r="B25" s="14">
        <f>B22</f>
        <v>12</v>
      </c>
      <c r="C25" s="15"/>
      <c r="D25" s="15" t="s">
        <v>91</v>
      </c>
      <c r="E25" s="15" t="s">
        <v>92</v>
      </c>
      <c r="F25" s="20">
        <v>0.73</v>
      </c>
      <c r="G25" s="18">
        <f t="shared" si="0"/>
        <v>8.76</v>
      </c>
    </row>
    <row r="26" spans="1:7" ht="12.75">
      <c r="A26" s="42">
        <f t="shared" si="1"/>
        <v>18</v>
      </c>
      <c r="B26" s="14">
        <f>CEILING($B$3,5)</f>
        <v>25</v>
      </c>
      <c r="C26" s="15"/>
      <c r="D26" s="15" t="s">
        <v>240</v>
      </c>
      <c r="E26" s="15" t="s">
        <v>241</v>
      </c>
      <c r="F26" s="20">
        <v>0.056</v>
      </c>
      <c r="G26" s="18">
        <f t="shared" si="0"/>
        <v>1.4000000000000001</v>
      </c>
    </row>
    <row r="27" spans="1:7" ht="12.75">
      <c r="A27" s="42">
        <f t="shared" si="1"/>
        <v>19</v>
      </c>
      <c r="B27" s="14">
        <f>CEILING($B$3/4,5)</f>
        <v>10</v>
      </c>
      <c r="C27" s="15"/>
      <c r="D27" s="15" t="s">
        <v>93</v>
      </c>
      <c r="E27" s="15" t="s">
        <v>94</v>
      </c>
      <c r="F27" s="17">
        <v>0.068</v>
      </c>
      <c r="G27" s="18">
        <f t="shared" si="0"/>
        <v>0.68</v>
      </c>
    </row>
    <row r="28" spans="1:7" ht="12.75">
      <c r="A28" s="42">
        <f t="shared" si="1"/>
        <v>20</v>
      </c>
      <c r="B28" s="14">
        <f>CEILING($B$3/8,1)</f>
        <v>3</v>
      </c>
      <c r="C28" s="15"/>
      <c r="D28" s="15" t="s">
        <v>24</v>
      </c>
      <c r="E28" s="15" t="s">
        <v>25</v>
      </c>
      <c r="F28" s="17">
        <v>0.39</v>
      </c>
      <c r="G28" s="18">
        <f t="shared" si="0"/>
        <v>1.17</v>
      </c>
    </row>
    <row r="29" spans="1:7" ht="12.75">
      <c r="A29" s="42">
        <f t="shared" si="1"/>
        <v>21</v>
      </c>
      <c r="B29" s="14">
        <f>CEILING($B$3/4,1)</f>
        <v>6</v>
      </c>
      <c r="C29" s="15"/>
      <c r="D29" s="15" t="s">
        <v>96</v>
      </c>
      <c r="E29" s="15" t="s">
        <v>97</v>
      </c>
      <c r="F29" s="17">
        <v>0.25</v>
      </c>
      <c r="G29" s="18">
        <f t="shared" si="0"/>
        <v>1.5</v>
      </c>
    </row>
    <row r="30" spans="1:7" ht="12.75">
      <c r="A30" s="42">
        <f t="shared" si="1"/>
        <v>22</v>
      </c>
      <c r="B30" s="14">
        <f>$B$4</f>
        <v>1</v>
      </c>
      <c r="C30" s="15"/>
      <c r="D30" s="15" t="s">
        <v>68</v>
      </c>
      <c r="E30" s="15" t="s">
        <v>69</v>
      </c>
      <c r="F30" s="17">
        <v>10.79</v>
      </c>
      <c r="G30" s="18">
        <f>B30*F30</f>
        <v>10.79</v>
      </c>
    </row>
    <row r="31" spans="1:7" ht="12.75">
      <c r="A31" s="42">
        <f t="shared" si="1"/>
        <v>23</v>
      </c>
      <c r="B31" s="21">
        <f>CEILING(20*$B$3,500)/500</f>
        <v>1</v>
      </c>
      <c r="C31" s="22"/>
      <c r="D31" s="22" t="s">
        <v>99</v>
      </c>
      <c r="E31" s="22" t="s">
        <v>100</v>
      </c>
      <c r="F31" s="23">
        <v>58.9</v>
      </c>
      <c r="G31" s="24">
        <f>B31*F31</f>
        <v>58.9</v>
      </c>
    </row>
    <row r="32" spans="6:7" ht="12.75">
      <c r="F32" s="5"/>
      <c r="G32" s="5"/>
    </row>
    <row r="33" spans="2:7" ht="12.75">
      <c r="B33" s="31">
        <f>$B$4</f>
        <v>1</v>
      </c>
      <c r="C33" s="32"/>
      <c r="D33" s="32"/>
      <c r="E33" s="32" t="s">
        <v>98</v>
      </c>
      <c r="F33" s="33">
        <v>44</v>
      </c>
      <c r="G33" s="34">
        <f>B33*F33</f>
        <v>44</v>
      </c>
    </row>
    <row r="36" spans="6:7" ht="12.75">
      <c r="F36" s="4" t="s">
        <v>7</v>
      </c>
      <c r="G36" s="5">
        <f>SUM(G9:G35)</f>
        <v>209.29000000000002</v>
      </c>
    </row>
  </sheetData>
  <printOptions/>
  <pageMargins left="0.75" right="0.75" top="1" bottom="1" header="0.5" footer="0.5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27" sqref="F27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.7109375" style="0" customWidth="1"/>
    <col min="4" max="4" width="18.7109375" style="0" customWidth="1"/>
    <col min="5" max="5" width="40.7109375" style="0" customWidth="1"/>
    <col min="6" max="7" width="9.7109375" style="0" customWidth="1"/>
  </cols>
  <sheetData>
    <row r="1" ht="12.75">
      <c r="B1" s="1" t="s">
        <v>134</v>
      </c>
    </row>
    <row r="3" spans="2:6" ht="12.75">
      <c r="B3" s="3">
        <f>NumHalls</f>
        <v>51</v>
      </c>
      <c r="D3" t="s">
        <v>101</v>
      </c>
      <c r="F3" s="2"/>
    </row>
    <row r="4" spans="2:6" ht="12.75">
      <c r="B4" s="3">
        <f>CEILING(B3/64,1)</f>
        <v>1</v>
      </c>
      <c r="D4" t="s">
        <v>102</v>
      </c>
      <c r="F4" s="2"/>
    </row>
    <row r="6" spans="2:7" ht="12.75">
      <c r="B6" s="6"/>
      <c r="C6" s="7"/>
      <c r="D6" s="7" t="s">
        <v>3</v>
      </c>
      <c r="E6" s="7"/>
      <c r="F6" s="8" t="s">
        <v>5</v>
      </c>
      <c r="G6" s="9" t="s">
        <v>7</v>
      </c>
    </row>
    <row r="7" spans="2:7" ht="12.75">
      <c r="B7" s="10" t="s">
        <v>2</v>
      </c>
      <c r="C7" s="11"/>
      <c r="D7" s="11" t="s">
        <v>1</v>
      </c>
      <c r="E7" s="11" t="s">
        <v>4</v>
      </c>
      <c r="F7" s="12" t="s">
        <v>6</v>
      </c>
      <c r="G7" s="13" t="s">
        <v>5</v>
      </c>
    </row>
    <row r="8" spans="2:7" ht="12.75">
      <c r="B8" s="14"/>
      <c r="C8" s="15"/>
      <c r="D8" s="15"/>
      <c r="E8" s="15"/>
      <c r="F8" s="15"/>
      <c r="G8" s="16"/>
    </row>
    <row r="9" spans="1:7" ht="12.75">
      <c r="A9" s="42">
        <v>1</v>
      </c>
      <c r="B9" s="19">
        <f>CEILING(B3/32,1)</f>
        <v>2</v>
      </c>
      <c r="C9" s="15"/>
      <c r="D9" s="15" t="s">
        <v>54</v>
      </c>
      <c r="E9" s="15" t="s">
        <v>55</v>
      </c>
      <c r="F9" s="17">
        <v>0.29</v>
      </c>
      <c r="G9" s="18">
        <f aca="true" t="shared" si="0" ref="G9:G26">B9*F9</f>
        <v>0.58</v>
      </c>
    </row>
    <row r="10" spans="1:7" ht="12.75">
      <c r="A10" s="42">
        <f>A9+1</f>
        <v>2</v>
      </c>
      <c r="B10" s="14">
        <f>$B$4</f>
        <v>1</v>
      </c>
      <c r="C10" s="15"/>
      <c r="D10" s="15" t="s">
        <v>52</v>
      </c>
      <c r="E10" s="15" t="s">
        <v>53</v>
      </c>
      <c r="F10" s="17">
        <v>0.25</v>
      </c>
      <c r="G10" s="18">
        <f t="shared" si="0"/>
        <v>0.25</v>
      </c>
    </row>
    <row r="11" spans="1:7" ht="12.75">
      <c r="A11" s="42">
        <f aca="true" t="shared" si="1" ref="A11:A26">A10+1</f>
        <v>3</v>
      </c>
      <c r="B11" s="19">
        <f>CEILING(2*$B$4,10)</f>
        <v>10</v>
      </c>
      <c r="C11" s="15"/>
      <c r="D11" s="15" t="s">
        <v>14</v>
      </c>
      <c r="E11" s="15" t="s">
        <v>15</v>
      </c>
      <c r="F11" s="20">
        <v>0.064</v>
      </c>
      <c r="G11" s="18">
        <f t="shared" si="0"/>
        <v>0.64</v>
      </c>
    </row>
    <row r="12" spans="1:7" ht="12.75">
      <c r="A12" s="42">
        <f t="shared" si="1"/>
        <v>4</v>
      </c>
      <c r="B12" s="19">
        <f>CEILING(B$3/32,1)</f>
        <v>2</v>
      </c>
      <c r="C12" s="15"/>
      <c r="D12" s="15" t="s">
        <v>20</v>
      </c>
      <c r="E12" s="15" t="s">
        <v>23</v>
      </c>
      <c r="F12" s="17">
        <v>4.25</v>
      </c>
      <c r="G12" s="18">
        <f t="shared" si="0"/>
        <v>8.5</v>
      </c>
    </row>
    <row r="13" spans="1:7" ht="12.75">
      <c r="A13" s="42">
        <f t="shared" si="1"/>
        <v>5</v>
      </c>
      <c r="B13" s="19">
        <f>CEILING(B$3/32,1)</f>
        <v>2</v>
      </c>
      <c r="C13" s="15"/>
      <c r="D13" s="15" t="s">
        <v>21</v>
      </c>
      <c r="E13" s="15" t="s">
        <v>22</v>
      </c>
      <c r="F13" s="17">
        <v>0.24</v>
      </c>
      <c r="G13" s="18">
        <f t="shared" si="0"/>
        <v>0.48</v>
      </c>
    </row>
    <row r="14" spans="1:7" ht="12.75">
      <c r="A14" s="42">
        <f t="shared" si="1"/>
        <v>6</v>
      </c>
      <c r="B14" s="19">
        <f>CEILING(B$3/32,1)</f>
        <v>2</v>
      </c>
      <c r="C14" s="15"/>
      <c r="D14" t="s">
        <v>236</v>
      </c>
      <c r="E14" t="s">
        <v>237</v>
      </c>
      <c r="F14" s="5">
        <v>1.56</v>
      </c>
      <c r="G14" s="18">
        <f t="shared" si="0"/>
        <v>3.12</v>
      </c>
    </row>
    <row r="15" spans="1:7" ht="12.75">
      <c r="A15" s="42">
        <f t="shared" si="1"/>
        <v>7</v>
      </c>
      <c r="B15" s="19">
        <f>CEILING(B$3/32,1)</f>
        <v>2</v>
      </c>
      <c r="C15" s="15"/>
      <c r="D15" s="15" t="s">
        <v>68</v>
      </c>
      <c r="E15" s="15" t="s">
        <v>69</v>
      </c>
      <c r="F15" s="17">
        <v>10.79</v>
      </c>
      <c r="G15" s="18">
        <f t="shared" si="0"/>
        <v>21.58</v>
      </c>
    </row>
    <row r="16" spans="1:7" ht="12.75">
      <c r="A16" s="42">
        <f t="shared" si="1"/>
        <v>8</v>
      </c>
      <c r="B16" s="14">
        <f>$B$4</f>
        <v>1</v>
      </c>
      <c r="C16" s="15"/>
      <c r="D16" s="15" t="s">
        <v>30</v>
      </c>
      <c r="E16" s="15" t="s">
        <v>31</v>
      </c>
      <c r="F16" s="17">
        <v>0.61</v>
      </c>
      <c r="G16" s="18">
        <f>B16*F16</f>
        <v>0.61</v>
      </c>
    </row>
    <row r="17" spans="1:7" ht="12.75">
      <c r="A17" s="42">
        <f t="shared" si="1"/>
        <v>9</v>
      </c>
      <c r="B17" s="14">
        <f>CEILING($B$4,5)</f>
        <v>5</v>
      </c>
      <c r="C17" s="15"/>
      <c r="D17" s="15" t="s">
        <v>233</v>
      </c>
      <c r="E17" s="15" t="s">
        <v>234</v>
      </c>
      <c r="F17" s="20">
        <v>0.054</v>
      </c>
      <c r="G17" s="18">
        <f>B17*F17</f>
        <v>0.27</v>
      </c>
    </row>
    <row r="18" spans="1:7" ht="12.75">
      <c r="A18" s="42">
        <f t="shared" si="1"/>
        <v>10</v>
      </c>
      <c r="B18" s="14">
        <f>CEILING($B$3/8,1)</f>
        <v>7</v>
      </c>
      <c r="C18" s="15"/>
      <c r="D18" s="15" t="s">
        <v>249</v>
      </c>
      <c r="E18" s="15" t="s">
        <v>250</v>
      </c>
      <c r="F18" s="17">
        <v>0.6</v>
      </c>
      <c r="G18" s="18">
        <f>B18*F18</f>
        <v>4.2</v>
      </c>
    </row>
    <row r="19" spans="1:7" ht="12.75">
      <c r="A19" s="42">
        <f t="shared" si="1"/>
        <v>11</v>
      </c>
      <c r="B19" s="14">
        <f>CEILING($B$3/6,1)</f>
        <v>9</v>
      </c>
      <c r="C19" s="15"/>
      <c r="D19" s="15" t="s">
        <v>87</v>
      </c>
      <c r="E19" s="15" t="s">
        <v>88</v>
      </c>
      <c r="F19" s="17">
        <v>0.5</v>
      </c>
      <c r="G19" s="18">
        <f>B19*F19</f>
        <v>4.5</v>
      </c>
    </row>
    <row r="20" spans="1:7" ht="12.75">
      <c r="A20" s="42">
        <f t="shared" si="1"/>
        <v>12</v>
      </c>
      <c r="B20" s="14">
        <f>CEILING($B$3/8,1)</f>
        <v>7</v>
      </c>
      <c r="C20" s="15"/>
      <c r="D20" s="15" t="s">
        <v>32</v>
      </c>
      <c r="E20" s="15" t="s">
        <v>33</v>
      </c>
      <c r="F20" s="17">
        <v>1.14</v>
      </c>
      <c r="G20" s="18">
        <f t="shared" si="0"/>
        <v>7.9799999999999995</v>
      </c>
    </row>
    <row r="21" spans="1:7" ht="12.75">
      <c r="A21" s="42">
        <f t="shared" si="1"/>
        <v>13</v>
      </c>
      <c r="B21" s="14">
        <f>CEILING($B$3/8,1)</f>
        <v>7</v>
      </c>
      <c r="C21" s="15"/>
      <c r="D21" s="15" t="s">
        <v>34</v>
      </c>
      <c r="E21" s="15" t="s">
        <v>35</v>
      </c>
      <c r="F21" s="17">
        <v>0.62</v>
      </c>
      <c r="G21" s="18">
        <f t="shared" si="0"/>
        <v>4.34</v>
      </c>
    </row>
    <row r="22" spans="1:7" ht="12.75">
      <c r="A22" s="42">
        <f t="shared" si="1"/>
        <v>14</v>
      </c>
      <c r="B22" s="14">
        <f>CEILING(8*B21,10)</f>
        <v>60</v>
      </c>
      <c r="C22" s="15"/>
      <c r="D22" s="15" t="s">
        <v>82</v>
      </c>
      <c r="E22" s="15" t="s">
        <v>83</v>
      </c>
      <c r="F22" s="20">
        <v>0.067</v>
      </c>
      <c r="G22" s="18">
        <f t="shared" si="0"/>
        <v>4.0200000000000005</v>
      </c>
    </row>
    <row r="23" spans="1:7" ht="12.75">
      <c r="A23" s="42">
        <f t="shared" si="1"/>
        <v>15</v>
      </c>
      <c r="B23" s="14">
        <f>CEILING($B$3/8,1)</f>
        <v>7</v>
      </c>
      <c r="C23" s="15"/>
      <c r="D23" s="15" t="s">
        <v>24</v>
      </c>
      <c r="E23" s="15" t="s">
        <v>25</v>
      </c>
      <c r="F23" s="17">
        <v>0.39</v>
      </c>
      <c r="G23" s="18">
        <f t="shared" si="0"/>
        <v>2.73</v>
      </c>
    </row>
    <row r="24" spans="1:7" ht="12.75">
      <c r="A24" s="42">
        <f t="shared" si="1"/>
        <v>16</v>
      </c>
      <c r="B24" s="14">
        <f>CEILING($B$3/2,1)</f>
        <v>26</v>
      </c>
      <c r="C24" s="15"/>
      <c r="D24" s="15" t="s">
        <v>251</v>
      </c>
      <c r="E24" s="15" t="s">
        <v>252</v>
      </c>
      <c r="F24" s="17">
        <v>0.9</v>
      </c>
      <c r="G24" s="18">
        <f t="shared" si="0"/>
        <v>23.400000000000002</v>
      </c>
    </row>
    <row r="25" spans="1:7" ht="12.75">
      <c r="A25" s="42">
        <f t="shared" si="1"/>
        <v>17</v>
      </c>
      <c r="B25" s="14">
        <f>CEILING($B$3,10)</f>
        <v>60</v>
      </c>
      <c r="C25" s="15"/>
      <c r="D25" t="s">
        <v>104</v>
      </c>
      <c r="E25" t="s">
        <v>105</v>
      </c>
      <c r="F25" s="20">
        <v>0.864</v>
      </c>
      <c r="G25" s="18">
        <f t="shared" si="0"/>
        <v>51.839999999999996</v>
      </c>
    </row>
    <row r="26" spans="1:7" ht="12.75">
      <c r="A26" s="42">
        <f t="shared" si="1"/>
        <v>18</v>
      </c>
      <c r="B26" s="21">
        <f>CEILING(20*$B$3,500)/500</f>
        <v>3</v>
      </c>
      <c r="C26" s="22"/>
      <c r="D26" s="22" t="s">
        <v>99</v>
      </c>
      <c r="E26" s="22" t="s">
        <v>100</v>
      </c>
      <c r="F26" s="23">
        <v>58.9</v>
      </c>
      <c r="G26" s="24">
        <f t="shared" si="0"/>
        <v>176.7</v>
      </c>
    </row>
    <row r="27" spans="6:7" ht="12.75">
      <c r="F27" s="5"/>
      <c r="G27" s="5"/>
    </row>
    <row r="28" spans="2:7" ht="12.75">
      <c r="B28" s="31">
        <f>$B$4</f>
        <v>1</v>
      </c>
      <c r="C28" s="32"/>
      <c r="D28" s="32"/>
      <c r="E28" s="32" t="s">
        <v>103</v>
      </c>
      <c r="F28" s="33">
        <v>44</v>
      </c>
      <c r="G28" s="34">
        <f>B28*F28</f>
        <v>44</v>
      </c>
    </row>
    <row r="31" spans="6:7" ht="12.75">
      <c r="F31" s="4" t="s">
        <v>7</v>
      </c>
      <c r="G31" s="5">
        <f>SUM(G9:G30)</f>
        <v>359.74</v>
      </c>
    </row>
  </sheetData>
  <printOptions/>
  <pageMargins left="0.75" right="0.75" top="1" bottom="1" header="0.5" footer="0.5"/>
  <pageSetup horizontalDpi="600" verticalDpi="6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3">
      <selection activeCell="F41" sqref="F41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.7109375" style="0" customWidth="1"/>
    <col min="4" max="4" width="18.7109375" style="0" customWidth="1"/>
    <col min="5" max="5" width="40.7109375" style="0" customWidth="1"/>
    <col min="6" max="7" width="9.7109375" style="0" customWidth="1"/>
  </cols>
  <sheetData>
    <row r="1" ht="12.75">
      <c r="B1" s="1" t="s">
        <v>168</v>
      </c>
    </row>
    <row r="3" spans="2:6" ht="12.75">
      <c r="B3" s="3">
        <v>1</v>
      </c>
      <c r="D3" t="s">
        <v>135</v>
      </c>
      <c r="F3" s="2"/>
    </row>
    <row r="4" spans="2:6" ht="12.75">
      <c r="B4" s="3">
        <f>NumControls</f>
        <v>3</v>
      </c>
      <c r="D4" t="s">
        <v>333</v>
      </c>
      <c r="F4" s="2"/>
    </row>
    <row r="6" spans="2:7" ht="12.75">
      <c r="B6" s="6"/>
      <c r="C6" s="7"/>
      <c r="D6" s="7" t="s">
        <v>3</v>
      </c>
      <c r="E6" s="7"/>
      <c r="F6" s="8" t="s">
        <v>5</v>
      </c>
      <c r="G6" s="9" t="s">
        <v>7</v>
      </c>
    </row>
    <row r="7" spans="2:7" ht="12.75">
      <c r="B7" s="10" t="s">
        <v>2</v>
      </c>
      <c r="C7" s="11"/>
      <c r="D7" s="11" t="s">
        <v>1</v>
      </c>
      <c r="E7" s="11" t="s">
        <v>4</v>
      </c>
      <c r="F7" s="12" t="s">
        <v>6</v>
      </c>
      <c r="G7" s="13" t="s">
        <v>5</v>
      </c>
    </row>
    <row r="8" spans="2:7" ht="12.75">
      <c r="B8" s="14"/>
      <c r="C8" s="15"/>
      <c r="D8" s="15"/>
      <c r="E8" s="15"/>
      <c r="F8" s="15"/>
      <c r="G8" s="16"/>
    </row>
    <row r="9" spans="1:7" ht="12.75">
      <c r="A9" s="42">
        <v>1</v>
      </c>
      <c r="B9" s="14">
        <f>3*$B$3</f>
        <v>3</v>
      </c>
      <c r="C9" s="15"/>
      <c r="D9" s="15" t="s">
        <v>137</v>
      </c>
      <c r="E9" s="15" t="s">
        <v>138</v>
      </c>
      <c r="F9" s="17">
        <v>10.32</v>
      </c>
      <c r="G9" s="18">
        <f aca="true" t="shared" si="0" ref="G9:G20">B9*F9</f>
        <v>30.96</v>
      </c>
    </row>
    <row r="10" spans="1:7" ht="12.75">
      <c r="A10" s="42">
        <f>A9+1</f>
        <v>2</v>
      </c>
      <c r="B10" s="14">
        <f>3*$B$3</f>
        <v>3</v>
      </c>
      <c r="C10" s="15"/>
      <c r="D10" t="s">
        <v>206</v>
      </c>
      <c r="E10" t="s">
        <v>207</v>
      </c>
      <c r="F10" s="5">
        <v>24.15</v>
      </c>
      <c r="G10" s="18">
        <f t="shared" si="0"/>
        <v>72.44999999999999</v>
      </c>
    </row>
    <row r="11" spans="1:7" ht="12.75">
      <c r="A11" s="42">
        <f aca="true" t="shared" si="1" ref="A11:A40">A10+1</f>
        <v>3</v>
      </c>
      <c r="B11" s="14">
        <f>CEILING(2*B10,5)</f>
        <v>10</v>
      </c>
      <c r="D11" t="s">
        <v>245</v>
      </c>
      <c r="E11" t="s">
        <v>246</v>
      </c>
      <c r="F11" s="5">
        <v>1.52</v>
      </c>
      <c r="G11" s="18">
        <f t="shared" si="0"/>
        <v>15.2</v>
      </c>
    </row>
    <row r="12" spans="1:7" ht="12.75">
      <c r="A12" s="42">
        <f t="shared" si="1"/>
        <v>4</v>
      </c>
      <c r="B12" s="14">
        <f>$B$3</f>
        <v>1</v>
      </c>
      <c r="C12" s="15"/>
      <c r="D12" s="15" t="s">
        <v>10</v>
      </c>
      <c r="E12" s="15" t="s">
        <v>11</v>
      </c>
      <c r="F12" s="17">
        <v>0.39</v>
      </c>
      <c r="G12" s="18">
        <f t="shared" si="0"/>
        <v>0.39</v>
      </c>
    </row>
    <row r="13" spans="1:7" ht="12.75">
      <c r="A13" s="42">
        <f t="shared" si="1"/>
        <v>5</v>
      </c>
      <c r="B13" s="14">
        <f>$B$3</f>
        <v>1</v>
      </c>
      <c r="C13" s="15"/>
      <c r="D13" s="15" t="s">
        <v>12</v>
      </c>
      <c r="E13" s="15" t="s">
        <v>13</v>
      </c>
      <c r="F13" s="17">
        <v>0.33</v>
      </c>
      <c r="G13" s="18">
        <f t="shared" si="0"/>
        <v>0.33</v>
      </c>
    </row>
    <row r="14" spans="1:7" ht="12.75">
      <c r="A14" s="42">
        <f t="shared" si="1"/>
        <v>6</v>
      </c>
      <c r="B14" s="14">
        <f>CEILING(3*$B$3,10)</f>
        <v>10</v>
      </c>
      <c r="C14" s="15"/>
      <c r="D14" s="15" t="s">
        <v>14</v>
      </c>
      <c r="E14" s="15" t="s">
        <v>15</v>
      </c>
      <c r="F14" s="20">
        <v>0.064</v>
      </c>
      <c r="G14" s="18">
        <f t="shared" si="0"/>
        <v>0.64</v>
      </c>
    </row>
    <row r="15" spans="1:7" ht="12.75">
      <c r="A15" s="42">
        <f t="shared" si="1"/>
        <v>7</v>
      </c>
      <c r="B15" s="14">
        <f>13*$B$3</f>
        <v>13</v>
      </c>
      <c r="C15" s="15"/>
      <c r="D15" s="15" t="s">
        <v>32</v>
      </c>
      <c r="E15" s="15" t="s">
        <v>33</v>
      </c>
      <c r="F15" s="20">
        <v>1.01</v>
      </c>
      <c r="G15" s="18">
        <f t="shared" si="0"/>
        <v>13.13</v>
      </c>
    </row>
    <row r="16" spans="1:7" ht="12.75">
      <c r="A16" s="42">
        <f t="shared" si="1"/>
        <v>8</v>
      </c>
      <c r="B16" s="14">
        <f>13*$B$3</f>
        <v>13</v>
      </c>
      <c r="C16" s="15"/>
      <c r="D16" s="15" t="s">
        <v>34</v>
      </c>
      <c r="E16" s="15" t="s">
        <v>35</v>
      </c>
      <c r="F16" s="20">
        <v>0.547</v>
      </c>
      <c r="G16" s="18">
        <f t="shared" si="0"/>
        <v>7.111000000000001</v>
      </c>
    </row>
    <row r="17" spans="1:7" ht="12.75">
      <c r="A17" s="42">
        <f t="shared" si="1"/>
        <v>9</v>
      </c>
      <c r="B17" s="14">
        <f>CEILING(8*B16,10)</f>
        <v>110</v>
      </c>
      <c r="C17" s="15"/>
      <c r="D17" s="15" t="s">
        <v>82</v>
      </c>
      <c r="E17" s="15" t="s">
        <v>83</v>
      </c>
      <c r="F17" s="37">
        <v>0.0534</v>
      </c>
      <c r="G17" s="18">
        <f t="shared" si="0"/>
        <v>5.8740000000000006</v>
      </c>
    </row>
    <row r="18" spans="1:7" ht="12.75">
      <c r="A18" s="42">
        <f t="shared" si="1"/>
        <v>10</v>
      </c>
      <c r="B18" s="14">
        <f>CEILING(2*$B$3,5)</f>
        <v>5</v>
      </c>
      <c r="C18" s="15"/>
      <c r="D18" s="15" t="s">
        <v>93</v>
      </c>
      <c r="E18" s="15" t="s">
        <v>94</v>
      </c>
      <c r="F18" s="17">
        <v>0.068</v>
      </c>
      <c r="G18" s="18">
        <f t="shared" si="0"/>
        <v>0.34</v>
      </c>
    </row>
    <row r="19" spans="1:7" ht="12.75">
      <c r="A19" s="42">
        <f t="shared" si="1"/>
        <v>11</v>
      </c>
      <c r="B19" s="14">
        <f>$B$3</f>
        <v>1</v>
      </c>
      <c r="C19" s="15"/>
      <c r="D19" s="15" t="s">
        <v>30</v>
      </c>
      <c r="E19" s="15" t="s">
        <v>31</v>
      </c>
      <c r="F19" s="17">
        <v>0.61</v>
      </c>
      <c r="G19" s="18">
        <f t="shared" si="0"/>
        <v>0.61</v>
      </c>
    </row>
    <row r="20" spans="1:7" ht="12.75">
      <c r="A20" s="42">
        <f t="shared" si="1"/>
        <v>12</v>
      </c>
      <c r="B20" s="14">
        <f>CEILING($B$3,5)</f>
        <v>5</v>
      </c>
      <c r="C20" s="15"/>
      <c r="D20" s="15" t="s">
        <v>44</v>
      </c>
      <c r="E20" s="15" t="s">
        <v>45</v>
      </c>
      <c r="F20" s="20">
        <v>0.054</v>
      </c>
      <c r="G20" s="18">
        <f t="shared" si="0"/>
        <v>0.27</v>
      </c>
    </row>
    <row r="21" spans="1:7" ht="12.75">
      <c r="A21" s="42">
        <f t="shared" si="1"/>
        <v>13</v>
      </c>
      <c r="B21" s="14">
        <f>CEILING($B$3,5)</f>
        <v>5</v>
      </c>
      <c r="C21" s="15"/>
      <c r="D21" s="15" t="s">
        <v>48</v>
      </c>
      <c r="E21" s="15" t="s">
        <v>49</v>
      </c>
      <c r="F21" s="20">
        <v>0.054</v>
      </c>
      <c r="G21" s="18">
        <f aca="true" t="shared" si="2" ref="G21:G40">B21*F21</f>
        <v>0.27</v>
      </c>
    </row>
    <row r="22" spans="1:7" ht="12.75">
      <c r="A22" s="42">
        <f t="shared" si="1"/>
        <v>14</v>
      </c>
      <c r="B22" s="14">
        <f>2*$B$3</f>
        <v>2</v>
      </c>
      <c r="C22" s="15"/>
      <c r="D22" s="15" t="s">
        <v>151</v>
      </c>
      <c r="E22" s="15" t="s">
        <v>152</v>
      </c>
      <c r="F22" s="17">
        <v>0.63</v>
      </c>
      <c r="G22" s="18">
        <f t="shared" si="2"/>
        <v>1.26</v>
      </c>
    </row>
    <row r="23" spans="1:7" ht="12.75">
      <c r="A23" s="42">
        <f t="shared" si="1"/>
        <v>15</v>
      </c>
      <c r="B23" s="14">
        <f>3*$B$3</f>
        <v>3</v>
      </c>
      <c r="C23" s="15"/>
      <c r="D23" t="s">
        <v>310</v>
      </c>
      <c r="E23" t="s">
        <v>311</v>
      </c>
      <c r="F23" s="5">
        <v>0.48</v>
      </c>
      <c r="G23" s="18">
        <f t="shared" si="2"/>
        <v>1.44</v>
      </c>
    </row>
    <row r="24" spans="1:7" ht="12.75">
      <c r="A24" s="42">
        <f t="shared" si="1"/>
        <v>16</v>
      </c>
      <c r="B24" s="14">
        <f>B22+B23</f>
        <v>5</v>
      </c>
      <c r="C24" s="15"/>
      <c r="D24" s="15" t="s">
        <v>91</v>
      </c>
      <c r="E24" s="15" t="s">
        <v>92</v>
      </c>
      <c r="F24" s="20">
        <v>0.73</v>
      </c>
      <c r="G24" s="18">
        <f t="shared" si="2"/>
        <v>3.65</v>
      </c>
    </row>
    <row r="25" spans="1:7" ht="12.75">
      <c r="A25" s="42">
        <f t="shared" si="1"/>
        <v>17</v>
      </c>
      <c r="B25" s="14">
        <f>8*$B$3</f>
        <v>8</v>
      </c>
      <c r="C25" s="15"/>
      <c r="D25" s="15" t="s">
        <v>139</v>
      </c>
      <c r="E25" s="15" t="s">
        <v>140</v>
      </c>
      <c r="F25" s="17">
        <v>1.73</v>
      </c>
      <c r="G25" s="18">
        <f t="shared" si="2"/>
        <v>13.84</v>
      </c>
    </row>
    <row r="26" spans="1:7" ht="12.75">
      <c r="A26" s="42">
        <f t="shared" si="1"/>
        <v>18</v>
      </c>
      <c r="B26" s="14">
        <f>CEILING(16*$B$3,5)</f>
        <v>20</v>
      </c>
      <c r="C26" s="15"/>
      <c r="D26" s="15" t="s">
        <v>141</v>
      </c>
      <c r="E26" s="15" t="s">
        <v>142</v>
      </c>
      <c r="F26" s="20">
        <v>0.056</v>
      </c>
      <c r="G26" s="18">
        <f t="shared" si="2"/>
        <v>1.12</v>
      </c>
    </row>
    <row r="27" spans="1:7" ht="12.75">
      <c r="A27" s="42">
        <f t="shared" si="1"/>
        <v>19</v>
      </c>
      <c r="B27" s="14">
        <f>$B$3</f>
        <v>1</v>
      </c>
      <c r="C27" s="15"/>
      <c r="D27" s="15" t="s">
        <v>143</v>
      </c>
      <c r="E27" s="15" t="s">
        <v>144</v>
      </c>
      <c r="F27" s="17">
        <v>2.79</v>
      </c>
      <c r="G27" s="18">
        <f t="shared" si="2"/>
        <v>2.79</v>
      </c>
    </row>
    <row r="28" spans="1:7" ht="12.75">
      <c r="A28" s="42">
        <f t="shared" si="1"/>
        <v>20</v>
      </c>
      <c r="B28" s="14">
        <f>$B$3</f>
        <v>1</v>
      </c>
      <c r="C28" s="15"/>
      <c r="D28" s="15" t="s">
        <v>145</v>
      </c>
      <c r="E28" s="15" t="s">
        <v>146</v>
      </c>
      <c r="F28" s="17">
        <v>3.35</v>
      </c>
      <c r="G28" s="18">
        <f t="shared" si="2"/>
        <v>3.35</v>
      </c>
    </row>
    <row r="29" spans="1:7" ht="12.75">
      <c r="A29" s="42">
        <f t="shared" si="1"/>
        <v>21</v>
      </c>
      <c r="B29" s="14">
        <v>2</v>
      </c>
      <c r="C29" s="15"/>
      <c r="D29" s="15" t="s">
        <v>147</v>
      </c>
      <c r="E29" s="15" t="s">
        <v>148</v>
      </c>
      <c r="F29" s="17">
        <v>4.47</v>
      </c>
      <c r="G29" s="18">
        <f t="shared" si="2"/>
        <v>8.94</v>
      </c>
    </row>
    <row r="30" spans="1:7" ht="12.75">
      <c r="A30" s="42">
        <f t="shared" si="1"/>
        <v>22</v>
      </c>
      <c r="B30" s="14">
        <f>$B$3</f>
        <v>1</v>
      </c>
      <c r="C30" s="15"/>
      <c r="D30" s="15" t="s">
        <v>149</v>
      </c>
      <c r="E30" s="15" t="s">
        <v>150</v>
      </c>
      <c r="F30" s="17">
        <v>5.59</v>
      </c>
      <c r="G30" s="18">
        <f t="shared" si="2"/>
        <v>5.59</v>
      </c>
    </row>
    <row r="31" spans="1:7" ht="12.75">
      <c r="A31" s="42">
        <f t="shared" si="1"/>
        <v>23</v>
      </c>
      <c r="B31" s="14">
        <f>$B$4</f>
        <v>3</v>
      </c>
      <c r="C31" s="15"/>
      <c r="D31" s="15" t="s">
        <v>169</v>
      </c>
      <c r="E31" s="15" t="s">
        <v>170</v>
      </c>
      <c r="F31" s="17">
        <v>9.23</v>
      </c>
      <c r="G31" s="18">
        <f t="shared" si="2"/>
        <v>27.69</v>
      </c>
    </row>
    <row r="32" spans="1:7" ht="12.75">
      <c r="A32" s="42">
        <f t="shared" si="1"/>
        <v>24</v>
      </c>
      <c r="B32" s="14">
        <f aca="true" t="shared" si="3" ref="B32:B39">$B$4</f>
        <v>3</v>
      </c>
      <c r="C32" s="15"/>
      <c r="D32" s="15" t="s">
        <v>174</v>
      </c>
      <c r="E32" s="15" t="s">
        <v>173</v>
      </c>
      <c r="F32" s="17">
        <v>5.94</v>
      </c>
      <c r="G32" s="18">
        <f t="shared" si="2"/>
        <v>17.82</v>
      </c>
    </row>
    <row r="33" spans="1:7" ht="12.75">
      <c r="A33" s="42">
        <f t="shared" si="1"/>
        <v>25</v>
      </c>
      <c r="B33" s="14">
        <f t="shared" si="3"/>
        <v>3</v>
      </c>
      <c r="C33" s="15"/>
      <c r="D33" s="15" t="s">
        <v>175</v>
      </c>
      <c r="E33" s="15" t="s">
        <v>173</v>
      </c>
      <c r="F33" s="17">
        <v>5.28</v>
      </c>
      <c r="G33" s="18">
        <f t="shared" si="2"/>
        <v>15.84</v>
      </c>
    </row>
    <row r="34" spans="1:7" ht="12.75">
      <c r="A34" s="42">
        <f t="shared" si="1"/>
        <v>26</v>
      </c>
      <c r="B34" s="14">
        <f t="shared" si="3"/>
        <v>3</v>
      </c>
      <c r="C34" s="15"/>
      <c r="D34" s="15" t="s">
        <v>176</v>
      </c>
      <c r="E34" s="15" t="s">
        <v>177</v>
      </c>
      <c r="F34" s="17">
        <v>5.37</v>
      </c>
      <c r="G34" s="18">
        <f t="shared" si="2"/>
        <v>16.11</v>
      </c>
    </row>
    <row r="35" spans="1:7" ht="12.75">
      <c r="A35" s="42">
        <f t="shared" si="1"/>
        <v>27</v>
      </c>
      <c r="B35" s="14">
        <f t="shared" si="3"/>
        <v>3</v>
      </c>
      <c r="C35" s="15"/>
      <c r="D35" s="15" t="s">
        <v>178</v>
      </c>
      <c r="E35" s="15" t="s">
        <v>179</v>
      </c>
      <c r="F35" s="17">
        <v>5.37</v>
      </c>
      <c r="G35" s="18">
        <f t="shared" si="2"/>
        <v>16.11</v>
      </c>
    </row>
    <row r="36" spans="1:7" ht="12.75">
      <c r="A36" s="42">
        <f t="shared" si="1"/>
        <v>28</v>
      </c>
      <c r="B36" s="14">
        <f t="shared" si="3"/>
        <v>3</v>
      </c>
      <c r="C36" s="15"/>
      <c r="D36" s="15" t="s">
        <v>180</v>
      </c>
      <c r="E36" s="15" t="s">
        <v>181</v>
      </c>
      <c r="F36" s="17">
        <v>6.55</v>
      </c>
      <c r="G36" s="18">
        <f t="shared" si="2"/>
        <v>19.65</v>
      </c>
    </row>
    <row r="37" spans="1:7" ht="12.75">
      <c r="A37" s="42">
        <f t="shared" si="1"/>
        <v>29</v>
      </c>
      <c r="B37" s="14">
        <f t="shared" si="3"/>
        <v>3</v>
      </c>
      <c r="C37" s="15"/>
      <c r="D37" s="15" t="s">
        <v>182</v>
      </c>
      <c r="E37" s="15" t="s">
        <v>183</v>
      </c>
      <c r="F37" s="17">
        <v>5.13</v>
      </c>
      <c r="G37" s="18">
        <f t="shared" si="2"/>
        <v>15.39</v>
      </c>
    </row>
    <row r="38" spans="1:7" ht="12.75">
      <c r="A38" s="42">
        <f t="shared" si="1"/>
        <v>30</v>
      </c>
      <c r="B38" s="14">
        <f t="shared" si="3"/>
        <v>3</v>
      </c>
      <c r="C38" s="15"/>
      <c r="D38" s="15" t="s">
        <v>184</v>
      </c>
      <c r="E38" s="15" t="s">
        <v>185</v>
      </c>
      <c r="F38" s="17">
        <v>0.86</v>
      </c>
      <c r="G38" s="18">
        <f t="shared" si="2"/>
        <v>2.58</v>
      </c>
    </row>
    <row r="39" spans="1:7" ht="12.75">
      <c r="A39" s="42">
        <f t="shared" si="1"/>
        <v>31</v>
      </c>
      <c r="B39" s="14">
        <f t="shared" si="3"/>
        <v>3</v>
      </c>
      <c r="C39" s="15"/>
      <c r="D39" s="15" t="s">
        <v>186</v>
      </c>
      <c r="E39" s="15" t="s">
        <v>187</v>
      </c>
      <c r="F39" s="17">
        <v>0.76</v>
      </c>
      <c r="G39" s="18">
        <f t="shared" si="2"/>
        <v>2.2800000000000002</v>
      </c>
    </row>
    <row r="40" spans="1:7" ht="12.75">
      <c r="A40" s="42">
        <f t="shared" si="1"/>
        <v>32</v>
      </c>
      <c r="B40" s="21">
        <v>1</v>
      </c>
      <c r="C40" s="22"/>
      <c r="D40" s="22" t="s">
        <v>188</v>
      </c>
      <c r="E40" s="22" t="s">
        <v>189</v>
      </c>
      <c r="F40" s="23">
        <v>41.83</v>
      </c>
      <c r="G40" s="24">
        <f t="shared" si="2"/>
        <v>41.83</v>
      </c>
    </row>
    <row r="41" spans="2:7" ht="12.75">
      <c r="B41" s="15"/>
      <c r="C41" s="15"/>
      <c r="D41" s="15"/>
      <c r="E41" s="15"/>
      <c r="F41" s="17"/>
      <c r="G41" s="17"/>
    </row>
    <row r="42" spans="2:7" ht="12.75">
      <c r="B42" s="31">
        <f>$B$3</f>
        <v>1</v>
      </c>
      <c r="C42" s="32"/>
      <c r="D42" s="32"/>
      <c r="E42" s="32" t="s">
        <v>153</v>
      </c>
      <c r="F42" s="33">
        <v>44</v>
      </c>
      <c r="G42" s="34">
        <f>B42*F42</f>
        <v>44</v>
      </c>
    </row>
    <row r="45" spans="6:7" ht="12.75">
      <c r="F45" s="4" t="s">
        <v>7</v>
      </c>
      <c r="G45" s="5">
        <f>SUM(G9:G44)</f>
        <v>408.8549999999999</v>
      </c>
    </row>
    <row r="47" ht="12.75">
      <c r="E47" s="43" t="s">
        <v>208</v>
      </c>
    </row>
    <row r="48" ht="12.75">
      <c r="E48" s="43" t="s">
        <v>209</v>
      </c>
    </row>
    <row r="49" ht="12.75">
      <c r="E49" s="43" t="s">
        <v>210</v>
      </c>
    </row>
  </sheetData>
  <printOptions/>
  <pageMargins left="0.75" right="0.75" top="1" bottom="1" header="0.5" footer="0.5"/>
  <pageSetup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D16" sqref="D16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.7109375" style="0" customWidth="1"/>
    <col min="4" max="4" width="18.7109375" style="0" customWidth="1"/>
    <col min="5" max="5" width="40.7109375" style="0" customWidth="1"/>
    <col min="6" max="7" width="9.7109375" style="0" customWidth="1"/>
  </cols>
  <sheetData>
    <row r="1" ht="12.75">
      <c r="B1" s="1" t="s">
        <v>330</v>
      </c>
    </row>
    <row r="3" spans="2:6" ht="12.75">
      <c r="B3">
        <f>NumHorns</f>
        <v>3</v>
      </c>
      <c r="D3" t="s">
        <v>356</v>
      </c>
      <c r="F3" s="52" t="s">
        <v>386</v>
      </c>
    </row>
    <row r="4" spans="2:6" ht="12.75">
      <c r="B4" s="40">
        <v>2</v>
      </c>
      <c r="D4" t="s">
        <v>262</v>
      </c>
      <c r="F4" s="52" t="s">
        <v>387</v>
      </c>
    </row>
    <row r="6" spans="2:7" ht="12.75">
      <c r="B6" s="1"/>
      <c r="C6" s="1"/>
      <c r="D6" s="1" t="s">
        <v>3</v>
      </c>
      <c r="E6" s="1"/>
      <c r="F6" s="4" t="s">
        <v>5</v>
      </c>
      <c r="G6" s="4" t="s">
        <v>7</v>
      </c>
    </row>
    <row r="7" spans="2:7" ht="12.75">
      <c r="B7" s="4" t="s">
        <v>2</v>
      </c>
      <c r="C7" s="1"/>
      <c r="D7" s="1" t="s">
        <v>1</v>
      </c>
      <c r="E7" s="1" t="s">
        <v>4</v>
      </c>
      <c r="F7" s="4" t="s">
        <v>6</v>
      </c>
      <c r="G7" s="4" t="s">
        <v>5</v>
      </c>
    </row>
    <row r="9" spans="1:7" ht="12.75">
      <c r="A9" s="42">
        <v>1</v>
      </c>
      <c r="B9" s="27">
        <v>1</v>
      </c>
      <c r="C9" s="28"/>
      <c r="D9" s="28" t="s">
        <v>290</v>
      </c>
      <c r="E9" s="28" t="s">
        <v>291</v>
      </c>
      <c r="F9" s="29">
        <v>21.19</v>
      </c>
      <c r="G9" s="30">
        <f aca="true" t="shared" si="0" ref="G9:G21">B9*F9</f>
        <v>21.19</v>
      </c>
    </row>
    <row r="10" spans="1:7" ht="12.75">
      <c r="A10" s="42">
        <f>A9+1</f>
        <v>2</v>
      </c>
      <c r="B10" s="14">
        <v>1</v>
      </c>
      <c r="C10" s="15"/>
      <c r="D10" s="15" t="s">
        <v>255</v>
      </c>
      <c r="E10" s="15" t="s">
        <v>256</v>
      </c>
      <c r="F10" s="17">
        <v>1.94</v>
      </c>
      <c r="G10" s="18">
        <f t="shared" si="0"/>
        <v>1.94</v>
      </c>
    </row>
    <row r="11" spans="1:7" ht="12.75">
      <c r="A11" s="42">
        <f aca="true" t="shared" si="1" ref="A11:A54">A10+1</f>
        <v>3</v>
      </c>
      <c r="B11" s="14">
        <v>4</v>
      </c>
      <c r="C11" s="15"/>
      <c r="D11" s="15" t="s">
        <v>253</v>
      </c>
      <c r="E11" s="15" t="s">
        <v>254</v>
      </c>
      <c r="F11" s="17">
        <v>3.04</v>
      </c>
      <c r="G11" s="18">
        <f t="shared" si="0"/>
        <v>12.16</v>
      </c>
    </row>
    <row r="12" spans="1:7" ht="12.75">
      <c r="A12" s="42">
        <f t="shared" si="1"/>
        <v>4</v>
      </c>
      <c r="B12" s="14">
        <v>8</v>
      </c>
      <c r="C12" s="15"/>
      <c r="D12" s="15" t="s">
        <v>282</v>
      </c>
      <c r="E12" s="15" t="s">
        <v>283</v>
      </c>
      <c r="F12" s="17">
        <v>0.28</v>
      </c>
      <c r="G12" s="18">
        <f t="shared" si="0"/>
        <v>2.24</v>
      </c>
    </row>
    <row r="13" spans="1:7" ht="12.75">
      <c r="A13" s="42">
        <f t="shared" si="1"/>
        <v>5</v>
      </c>
      <c r="B13" s="14">
        <v>8</v>
      </c>
      <c r="C13" s="15"/>
      <c r="D13" s="15" t="s">
        <v>286</v>
      </c>
      <c r="E13" s="15" t="s">
        <v>287</v>
      </c>
      <c r="F13" s="17">
        <v>0.23</v>
      </c>
      <c r="G13" s="18">
        <f t="shared" si="0"/>
        <v>1.84</v>
      </c>
    </row>
    <row r="14" spans="1:7" ht="12.75">
      <c r="A14" s="42">
        <f t="shared" si="1"/>
        <v>6</v>
      </c>
      <c r="B14" s="14">
        <v>1</v>
      </c>
      <c r="C14" s="15"/>
      <c r="D14" s="15" t="s">
        <v>284</v>
      </c>
      <c r="E14" s="15" t="s">
        <v>285</v>
      </c>
      <c r="F14" s="17">
        <v>0.37</v>
      </c>
      <c r="G14" s="18">
        <f t="shared" si="0"/>
        <v>0.37</v>
      </c>
    </row>
    <row r="15" spans="1:7" ht="12.75">
      <c r="A15" s="42">
        <f t="shared" si="1"/>
        <v>7</v>
      </c>
      <c r="B15" s="14">
        <v>1</v>
      </c>
      <c r="C15" s="15"/>
      <c r="D15" s="15" t="s">
        <v>288</v>
      </c>
      <c r="E15" s="15" t="s">
        <v>289</v>
      </c>
      <c r="F15" s="17">
        <v>0.31</v>
      </c>
      <c r="G15" s="18">
        <f t="shared" si="0"/>
        <v>0.31</v>
      </c>
    </row>
    <row r="16" spans="1:7" ht="12.75">
      <c r="A16" s="42">
        <f t="shared" si="1"/>
        <v>8</v>
      </c>
      <c r="B16" s="14">
        <v>20</v>
      </c>
      <c r="C16" s="15"/>
      <c r="D16" s="15" t="s">
        <v>14</v>
      </c>
      <c r="E16" s="15" t="s">
        <v>15</v>
      </c>
      <c r="F16" s="17">
        <v>0.064</v>
      </c>
      <c r="G16" s="18">
        <f t="shared" si="0"/>
        <v>1.28</v>
      </c>
    </row>
    <row r="17" spans="1:7" ht="12.75">
      <c r="A17" s="42">
        <f t="shared" si="1"/>
        <v>9</v>
      </c>
      <c r="B17" s="14">
        <v>3</v>
      </c>
      <c r="C17" s="15"/>
      <c r="D17" s="15" t="s">
        <v>292</v>
      </c>
      <c r="E17" s="15" t="s">
        <v>293</v>
      </c>
      <c r="F17" s="17">
        <v>0.67</v>
      </c>
      <c r="G17" s="18">
        <f t="shared" si="0"/>
        <v>2.0100000000000002</v>
      </c>
    </row>
    <row r="18" spans="1:7" ht="12.75">
      <c r="A18" s="42">
        <f t="shared" si="1"/>
        <v>10</v>
      </c>
      <c r="B18" s="14">
        <v>5</v>
      </c>
      <c r="C18" s="15"/>
      <c r="D18" s="15" t="s">
        <v>48</v>
      </c>
      <c r="E18" s="15" t="s">
        <v>49</v>
      </c>
      <c r="F18" s="20">
        <v>0.054</v>
      </c>
      <c r="G18" s="18">
        <f t="shared" si="0"/>
        <v>0.27</v>
      </c>
    </row>
    <row r="19" spans="1:7" ht="12.75">
      <c r="A19" s="42">
        <f t="shared" si="1"/>
        <v>11</v>
      </c>
      <c r="B19" s="14">
        <v>1</v>
      </c>
      <c r="C19" s="15"/>
      <c r="D19" s="15" t="s">
        <v>125</v>
      </c>
      <c r="E19" s="15" t="s">
        <v>126</v>
      </c>
      <c r="F19" s="17">
        <v>2.76</v>
      </c>
      <c r="G19" s="18">
        <f t="shared" si="0"/>
        <v>2.76</v>
      </c>
    </row>
    <row r="20" spans="1:7" ht="12.75">
      <c r="A20" s="42">
        <f t="shared" si="1"/>
        <v>12</v>
      </c>
      <c r="B20" s="14">
        <v>5</v>
      </c>
      <c r="C20" s="15"/>
      <c r="D20" s="15" t="s">
        <v>354</v>
      </c>
      <c r="E20" s="15" t="s">
        <v>355</v>
      </c>
      <c r="F20" s="17">
        <v>0.22</v>
      </c>
      <c r="G20" s="18">
        <f t="shared" si="0"/>
        <v>1.1</v>
      </c>
    </row>
    <row r="21" spans="1:7" ht="12.75">
      <c r="A21" s="42">
        <f t="shared" si="1"/>
        <v>13</v>
      </c>
      <c r="B21" s="14">
        <v>1</v>
      </c>
      <c r="C21" s="15"/>
      <c r="D21" s="15" t="s">
        <v>131</v>
      </c>
      <c r="E21" s="15" t="s">
        <v>132</v>
      </c>
      <c r="F21" s="17">
        <v>5.63</v>
      </c>
      <c r="G21" s="18">
        <f t="shared" si="0"/>
        <v>5.63</v>
      </c>
    </row>
    <row r="22" spans="1:7" ht="12.75">
      <c r="A22" s="42">
        <f t="shared" si="1"/>
        <v>14</v>
      </c>
      <c r="B22" s="14"/>
      <c r="C22" s="15"/>
      <c r="D22" s="15"/>
      <c r="E22" s="15"/>
      <c r="F22" s="17"/>
      <c r="G22" s="18"/>
    </row>
    <row r="23" spans="1:7" ht="12.75">
      <c r="A23" s="42">
        <f t="shared" si="1"/>
        <v>15</v>
      </c>
      <c r="B23" s="14">
        <v>1</v>
      </c>
      <c r="C23" s="15"/>
      <c r="D23" s="15" t="s">
        <v>298</v>
      </c>
      <c r="E23" s="15" t="s">
        <v>299</v>
      </c>
      <c r="F23" s="17">
        <v>0.63</v>
      </c>
      <c r="G23" s="18">
        <f aca="true" t="shared" si="2" ref="G23:G44">B23*F23</f>
        <v>0.63</v>
      </c>
    </row>
    <row r="24" spans="1:7" ht="12.75">
      <c r="A24" s="42">
        <f t="shared" si="1"/>
        <v>16</v>
      </c>
      <c r="B24" s="14">
        <v>4</v>
      </c>
      <c r="C24" s="15"/>
      <c r="D24" s="15" t="s">
        <v>300</v>
      </c>
      <c r="E24" s="15" t="s">
        <v>301</v>
      </c>
      <c r="F24" s="17">
        <v>0.24</v>
      </c>
      <c r="G24" s="18">
        <f t="shared" si="2"/>
        <v>0.96</v>
      </c>
    </row>
    <row r="25" spans="1:7" ht="12.75">
      <c r="A25" s="42">
        <f t="shared" si="1"/>
        <v>17</v>
      </c>
      <c r="B25" s="14">
        <v>1</v>
      </c>
      <c r="C25" s="15"/>
      <c r="D25" s="15" t="s">
        <v>302</v>
      </c>
      <c r="E25" s="15" t="s">
        <v>303</v>
      </c>
      <c r="F25" s="17">
        <v>0.19</v>
      </c>
      <c r="G25" s="18">
        <f t="shared" si="2"/>
        <v>0.19</v>
      </c>
    </row>
    <row r="26" spans="1:7" ht="12.75">
      <c r="A26" s="42">
        <f t="shared" si="1"/>
        <v>18</v>
      </c>
      <c r="B26" s="14">
        <v>2</v>
      </c>
      <c r="C26" s="15"/>
      <c r="D26" s="15" t="s">
        <v>304</v>
      </c>
      <c r="E26" s="15" t="s">
        <v>305</v>
      </c>
      <c r="F26" s="17">
        <v>0.39</v>
      </c>
      <c r="G26" s="18">
        <f t="shared" si="2"/>
        <v>0.78</v>
      </c>
    </row>
    <row r="27" spans="1:7" ht="12.75">
      <c r="A27" s="42">
        <f t="shared" si="1"/>
        <v>19</v>
      </c>
      <c r="B27" s="14">
        <v>4</v>
      </c>
      <c r="C27" s="15"/>
      <c r="D27" s="15" t="s">
        <v>312</v>
      </c>
      <c r="E27" s="15" t="s">
        <v>313</v>
      </c>
      <c r="F27" s="17">
        <v>0.69</v>
      </c>
      <c r="G27" s="18">
        <f t="shared" si="2"/>
        <v>2.76</v>
      </c>
    </row>
    <row r="28" spans="1:7" ht="12.75">
      <c r="A28" s="42">
        <f t="shared" si="1"/>
        <v>20</v>
      </c>
      <c r="B28" s="14">
        <v>1</v>
      </c>
      <c r="C28" s="15"/>
      <c r="D28" s="15" t="s">
        <v>308</v>
      </c>
      <c r="E28" s="15" t="s">
        <v>309</v>
      </c>
      <c r="F28" s="17">
        <v>0.42</v>
      </c>
      <c r="G28" s="18">
        <f t="shared" si="2"/>
        <v>0.42</v>
      </c>
    </row>
    <row r="29" spans="1:7" ht="12.75">
      <c r="A29" s="42">
        <f t="shared" si="1"/>
        <v>21</v>
      </c>
      <c r="B29" s="14">
        <v>4</v>
      </c>
      <c r="C29" s="15"/>
      <c r="D29" s="15" t="s">
        <v>91</v>
      </c>
      <c r="E29" s="15" t="s">
        <v>92</v>
      </c>
      <c r="F29" s="17">
        <v>0.73</v>
      </c>
      <c r="G29" s="18">
        <f t="shared" si="2"/>
        <v>2.92</v>
      </c>
    </row>
    <row r="30" spans="1:7" ht="12.75">
      <c r="A30" s="42">
        <f t="shared" si="1"/>
        <v>22</v>
      </c>
      <c r="B30" s="14">
        <v>3</v>
      </c>
      <c r="C30" s="15"/>
      <c r="D30" s="15" t="s">
        <v>60</v>
      </c>
      <c r="E30" s="15" t="s">
        <v>61</v>
      </c>
      <c r="F30" s="17">
        <v>0.83</v>
      </c>
      <c r="G30" s="18">
        <f t="shared" si="2"/>
        <v>2.4899999999999998</v>
      </c>
    </row>
    <row r="31" spans="1:7" ht="12.75">
      <c r="A31" s="42">
        <f t="shared" si="1"/>
        <v>23</v>
      </c>
      <c r="B31" s="14">
        <v>2</v>
      </c>
      <c r="C31" s="15"/>
      <c r="D31" s="15" t="s">
        <v>24</v>
      </c>
      <c r="E31" s="15" t="s">
        <v>25</v>
      </c>
      <c r="F31" s="17">
        <v>0.39</v>
      </c>
      <c r="G31" s="18">
        <f t="shared" si="2"/>
        <v>0.78</v>
      </c>
    </row>
    <row r="32" spans="1:7" ht="12.75">
      <c r="A32" s="42">
        <f t="shared" si="1"/>
        <v>24</v>
      </c>
      <c r="B32" s="14">
        <v>5</v>
      </c>
      <c r="C32" s="15"/>
      <c r="D32" s="15" t="s">
        <v>233</v>
      </c>
      <c r="E32" s="15" t="s">
        <v>234</v>
      </c>
      <c r="F32" s="20">
        <v>0.054</v>
      </c>
      <c r="G32" s="18">
        <f t="shared" si="2"/>
        <v>0.27</v>
      </c>
    </row>
    <row r="33" spans="1:7" ht="12.75">
      <c r="A33" s="42">
        <f t="shared" si="1"/>
        <v>25</v>
      </c>
      <c r="B33" s="14">
        <v>5</v>
      </c>
      <c r="C33" s="15"/>
      <c r="D33" s="15" t="s">
        <v>46</v>
      </c>
      <c r="E33" s="15" t="s">
        <v>47</v>
      </c>
      <c r="F33" s="20">
        <v>0.054</v>
      </c>
      <c r="G33" s="18">
        <f t="shared" si="2"/>
        <v>0.27</v>
      </c>
    </row>
    <row r="34" spans="1:7" ht="12.75">
      <c r="A34" s="42">
        <f t="shared" si="1"/>
        <v>26</v>
      </c>
      <c r="B34" s="14">
        <v>5</v>
      </c>
      <c r="C34" s="15"/>
      <c r="D34" s="15" t="s">
        <v>266</v>
      </c>
      <c r="E34" s="15" t="s">
        <v>267</v>
      </c>
      <c r="F34" s="20">
        <v>0.056</v>
      </c>
      <c r="G34" s="18">
        <f t="shared" si="2"/>
        <v>0.28</v>
      </c>
    </row>
    <row r="35" spans="1:7" ht="12.75">
      <c r="A35" s="42">
        <f t="shared" si="1"/>
        <v>27</v>
      </c>
      <c r="B35" s="14">
        <v>5</v>
      </c>
      <c r="C35" s="15"/>
      <c r="D35" s="15" t="s">
        <v>306</v>
      </c>
      <c r="E35" s="15" t="s">
        <v>307</v>
      </c>
      <c r="F35" s="20">
        <v>0.056</v>
      </c>
      <c r="G35" s="18">
        <f t="shared" si="2"/>
        <v>0.28</v>
      </c>
    </row>
    <row r="36" spans="1:7" ht="12.75">
      <c r="A36" s="42">
        <f t="shared" si="1"/>
        <v>28</v>
      </c>
      <c r="B36" s="14">
        <v>5</v>
      </c>
      <c r="C36" s="15"/>
      <c r="D36" s="15" t="s">
        <v>268</v>
      </c>
      <c r="E36" s="15" t="s">
        <v>269</v>
      </c>
      <c r="F36" s="20">
        <v>0.056</v>
      </c>
      <c r="G36" s="18">
        <f t="shared" si="2"/>
        <v>0.28</v>
      </c>
    </row>
    <row r="37" spans="1:7" ht="12.75">
      <c r="A37" s="42">
        <f t="shared" si="1"/>
        <v>29</v>
      </c>
      <c r="B37" s="14">
        <v>5</v>
      </c>
      <c r="C37" s="15"/>
      <c r="D37" s="15" t="s">
        <v>270</v>
      </c>
      <c r="E37" s="15" t="s">
        <v>271</v>
      </c>
      <c r="F37" s="20">
        <v>0.056</v>
      </c>
      <c r="G37" s="18">
        <f t="shared" si="2"/>
        <v>0.28</v>
      </c>
    </row>
    <row r="38" spans="1:7" ht="12.75">
      <c r="A38" s="42">
        <f t="shared" si="1"/>
        <v>30</v>
      </c>
      <c r="B38" s="14">
        <v>10</v>
      </c>
      <c r="C38" s="15"/>
      <c r="D38" s="15" t="s">
        <v>278</v>
      </c>
      <c r="E38" s="15" t="s">
        <v>279</v>
      </c>
      <c r="F38" s="20">
        <v>0.056</v>
      </c>
      <c r="G38" s="18">
        <f t="shared" si="2"/>
        <v>0.56</v>
      </c>
    </row>
    <row r="39" spans="1:7" ht="12.75">
      <c r="A39" s="42">
        <f t="shared" si="1"/>
        <v>31</v>
      </c>
      <c r="B39" s="14">
        <v>4</v>
      </c>
      <c r="C39" s="15"/>
      <c r="D39" s="15" t="s">
        <v>272</v>
      </c>
      <c r="E39" s="15" t="s">
        <v>273</v>
      </c>
      <c r="F39" s="17">
        <v>1.66</v>
      </c>
      <c r="G39" s="18">
        <f t="shared" si="2"/>
        <v>6.64</v>
      </c>
    </row>
    <row r="40" spans="1:7" ht="12.75">
      <c r="A40" s="42">
        <f t="shared" si="1"/>
        <v>32</v>
      </c>
      <c r="B40" s="14">
        <v>1</v>
      </c>
      <c r="C40" s="15"/>
      <c r="D40" s="15" t="s">
        <v>274</v>
      </c>
      <c r="E40" s="15" t="s">
        <v>275</v>
      </c>
      <c r="F40" s="17">
        <v>2.25</v>
      </c>
      <c r="G40" s="18">
        <f t="shared" si="2"/>
        <v>2.25</v>
      </c>
    </row>
    <row r="41" spans="1:7" ht="12.75">
      <c r="A41" s="42">
        <f t="shared" si="1"/>
        <v>33</v>
      </c>
      <c r="B41" s="14">
        <v>2</v>
      </c>
      <c r="C41" s="15"/>
      <c r="D41" s="15" t="s">
        <v>147</v>
      </c>
      <c r="E41" s="15" t="s">
        <v>148</v>
      </c>
      <c r="F41" s="17">
        <v>4.47</v>
      </c>
      <c r="G41" s="18">
        <f t="shared" si="2"/>
        <v>8.94</v>
      </c>
    </row>
    <row r="42" spans="1:7" ht="12.75">
      <c r="A42" s="42">
        <f t="shared" si="1"/>
        <v>34</v>
      </c>
      <c r="B42" s="14">
        <v>1</v>
      </c>
      <c r="C42" s="15"/>
      <c r="D42" s="15" t="s">
        <v>276</v>
      </c>
      <c r="E42" s="15" t="s">
        <v>277</v>
      </c>
      <c r="F42" s="17">
        <v>2.5</v>
      </c>
      <c r="G42" s="18">
        <f t="shared" si="2"/>
        <v>2.5</v>
      </c>
    </row>
    <row r="43" spans="1:7" ht="12.75">
      <c r="A43" s="42">
        <f t="shared" si="1"/>
        <v>35</v>
      </c>
      <c r="B43" s="14">
        <v>6</v>
      </c>
      <c r="C43" s="15"/>
      <c r="D43" s="15" t="s">
        <v>89</v>
      </c>
      <c r="E43" s="15" t="s">
        <v>90</v>
      </c>
      <c r="F43" s="17">
        <v>0.93</v>
      </c>
      <c r="G43" s="18">
        <f t="shared" si="2"/>
        <v>5.58</v>
      </c>
    </row>
    <row r="44" spans="1:7" ht="12.75">
      <c r="A44" s="42">
        <f t="shared" si="1"/>
        <v>36</v>
      </c>
      <c r="B44" s="14">
        <v>2</v>
      </c>
      <c r="C44" s="15"/>
      <c r="D44" s="15" t="s">
        <v>310</v>
      </c>
      <c r="E44" s="15" t="s">
        <v>311</v>
      </c>
      <c r="F44" s="17">
        <v>0.48</v>
      </c>
      <c r="G44" s="18">
        <f t="shared" si="2"/>
        <v>0.96</v>
      </c>
    </row>
    <row r="45" spans="1:7" ht="12.75">
      <c r="A45" s="42">
        <f t="shared" si="1"/>
        <v>37</v>
      </c>
      <c r="B45" s="14">
        <v>10</v>
      </c>
      <c r="C45" s="15"/>
      <c r="D45" s="15" t="s">
        <v>314</v>
      </c>
      <c r="E45" s="15" t="s">
        <v>315</v>
      </c>
      <c r="F45" s="20">
        <v>0.202</v>
      </c>
      <c r="G45" s="18">
        <f aca="true" t="shared" si="3" ref="G45:G54">B45*F45</f>
        <v>2.02</v>
      </c>
    </row>
    <row r="46" spans="1:7" ht="12.75">
      <c r="A46" s="42">
        <f t="shared" si="1"/>
        <v>38</v>
      </c>
      <c r="B46" s="14">
        <v>1</v>
      </c>
      <c r="C46" s="15"/>
      <c r="D46" s="15" t="s">
        <v>316</v>
      </c>
      <c r="E46" s="15" t="s">
        <v>317</v>
      </c>
      <c r="F46" s="17">
        <v>0.29</v>
      </c>
      <c r="G46" s="18">
        <f t="shared" si="3"/>
        <v>0.29</v>
      </c>
    </row>
    <row r="47" spans="1:7" ht="12.75">
      <c r="A47" s="42">
        <f t="shared" si="1"/>
        <v>39</v>
      </c>
      <c r="B47" s="14">
        <v>5</v>
      </c>
      <c r="C47" s="15"/>
      <c r="D47" s="15" t="s">
        <v>318</v>
      </c>
      <c r="E47" s="15" t="s">
        <v>319</v>
      </c>
      <c r="F47" s="20">
        <v>0.42</v>
      </c>
      <c r="G47" s="18">
        <f t="shared" si="3"/>
        <v>2.1</v>
      </c>
    </row>
    <row r="48" spans="1:7" ht="12.75">
      <c r="A48" s="42">
        <f t="shared" si="1"/>
        <v>40</v>
      </c>
      <c r="B48" s="14">
        <v>2</v>
      </c>
      <c r="C48" s="15"/>
      <c r="D48" s="15" t="s">
        <v>34</v>
      </c>
      <c r="E48" s="15" t="s">
        <v>35</v>
      </c>
      <c r="F48" s="17">
        <v>0.62</v>
      </c>
      <c r="G48" s="18">
        <f t="shared" si="3"/>
        <v>1.24</v>
      </c>
    </row>
    <row r="49" spans="1:7" ht="12.75">
      <c r="A49" s="42">
        <f t="shared" si="1"/>
        <v>41</v>
      </c>
      <c r="B49" s="14">
        <v>100</v>
      </c>
      <c r="C49" s="15"/>
      <c r="D49" s="15" t="s">
        <v>82</v>
      </c>
      <c r="E49" s="15" t="s">
        <v>83</v>
      </c>
      <c r="F49" s="37">
        <v>0.0534</v>
      </c>
      <c r="G49" s="18">
        <f t="shared" si="3"/>
        <v>5.34</v>
      </c>
    </row>
    <row r="50" spans="1:7" ht="12.75">
      <c r="A50" s="42">
        <f t="shared" si="1"/>
        <v>42</v>
      </c>
      <c r="B50" s="14">
        <v>10</v>
      </c>
      <c r="C50" s="15"/>
      <c r="D50" s="15" t="s">
        <v>320</v>
      </c>
      <c r="E50" s="15" t="s">
        <v>321</v>
      </c>
      <c r="F50" s="20">
        <v>0.27</v>
      </c>
      <c r="G50" s="18">
        <f t="shared" si="3"/>
        <v>2.7</v>
      </c>
    </row>
    <row r="51" spans="1:7" ht="12.75">
      <c r="A51" s="42">
        <f t="shared" si="1"/>
        <v>43</v>
      </c>
      <c r="B51" s="14">
        <v>1</v>
      </c>
      <c r="C51" s="15"/>
      <c r="D51" s="15" t="s">
        <v>322</v>
      </c>
      <c r="E51" s="15" t="s">
        <v>323</v>
      </c>
      <c r="F51" s="17">
        <v>0.39</v>
      </c>
      <c r="G51" s="18">
        <f t="shared" si="3"/>
        <v>0.39</v>
      </c>
    </row>
    <row r="52" spans="1:7" ht="12.75">
      <c r="A52" s="42">
        <f t="shared" si="1"/>
        <v>44</v>
      </c>
      <c r="B52" s="14">
        <v>5</v>
      </c>
      <c r="C52" s="15"/>
      <c r="D52" s="15" t="s">
        <v>324</v>
      </c>
      <c r="E52" s="15" t="s">
        <v>325</v>
      </c>
      <c r="F52" s="20">
        <v>0.54</v>
      </c>
      <c r="G52" s="18">
        <f t="shared" si="3"/>
        <v>2.7</v>
      </c>
    </row>
    <row r="53" spans="1:7" ht="12.75">
      <c r="A53" s="42">
        <f t="shared" si="1"/>
        <v>45</v>
      </c>
      <c r="B53" s="14">
        <v>2</v>
      </c>
      <c r="C53" s="15"/>
      <c r="D53" s="15" t="s">
        <v>326</v>
      </c>
      <c r="E53" s="15" t="s">
        <v>327</v>
      </c>
      <c r="F53" s="17">
        <v>0.78</v>
      </c>
      <c r="G53" s="18">
        <f t="shared" si="3"/>
        <v>1.56</v>
      </c>
    </row>
    <row r="54" spans="1:7" ht="12.75">
      <c r="A54" s="42">
        <f t="shared" si="1"/>
        <v>46</v>
      </c>
      <c r="B54" s="14">
        <v>1</v>
      </c>
      <c r="C54" s="15"/>
      <c r="D54" s="15" t="s">
        <v>328</v>
      </c>
      <c r="E54" s="15" t="s">
        <v>329</v>
      </c>
      <c r="F54" s="17">
        <v>0.54</v>
      </c>
      <c r="G54" s="18">
        <f t="shared" si="3"/>
        <v>0.54</v>
      </c>
    </row>
    <row r="55" spans="1:7" ht="12.75">
      <c r="A55" s="42">
        <f>A54+1</f>
        <v>47</v>
      </c>
      <c r="B55" s="14">
        <v>1</v>
      </c>
      <c r="C55" s="15"/>
      <c r="D55" s="15" t="s">
        <v>151</v>
      </c>
      <c r="E55" s="15" t="s">
        <v>152</v>
      </c>
      <c r="F55" s="17">
        <v>0.63</v>
      </c>
      <c r="G55" s="18">
        <f>B56*F55</f>
        <v>0.63</v>
      </c>
    </row>
    <row r="56" spans="1:7" ht="12.75">
      <c r="A56" s="42">
        <f>A55+1</f>
        <v>48</v>
      </c>
      <c r="B56" s="21">
        <v>1</v>
      </c>
      <c r="C56" s="22"/>
      <c r="D56" s="22" t="s">
        <v>364</v>
      </c>
      <c r="E56" s="22" t="s">
        <v>365</v>
      </c>
      <c r="F56" s="23">
        <v>6.55</v>
      </c>
      <c r="G56" s="24">
        <f>B56*F56</f>
        <v>6.55</v>
      </c>
    </row>
    <row r="57" spans="1:7" ht="12.75">
      <c r="A57" s="42"/>
      <c r="F57" s="5"/>
      <c r="G57" s="5"/>
    </row>
    <row r="58" spans="1:7" ht="12.75">
      <c r="A58" s="42"/>
      <c r="E58" s="1"/>
      <c r="F58" s="4" t="s">
        <v>5</v>
      </c>
      <c r="G58" s="4" t="s">
        <v>7</v>
      </c>
    </row>
    <row r="59" spans="1:7" ht="12.75">
      <c r="A59" s="42"/>
      <c r="B59" s="4" t="s">
        <v>2</v>
      </c>
      <c r="E59" s="1" t="s">
        <v>4</v>
      </c>
      <c r="F59" s="4" t="s">
        <v>6</v>
      </c>
      <c r="G59" s="4" t="s">
        <v>5</v>
      </c>
    </row>
    <row r="60" spans="1:7" ht="12.75">
      <c r="A60" s="42"/>
      <c r="F60" s="5"/>
      <c r="G60" s="5"/>
    </row>
    <row r="61" spans="1:7" ht="12.75">
      <c r="A61" s="42">
        <v>1</v>
      </c>
      <c r="B61" s="27">
        <f>$B$3</f>
        <v>3</v>
      </c>
      <c r="C61" s="28"/>
      <c r="D61" s="28"/>
      <c r="E61" s="28" t="s">
        <v>260</v>
      </c>
      <c r="F61" s="29">
        <v>110</v>
      </c>
      <c r="G61" s="30">
        <f>B61*F61</f>
        <v>330</v>
      </c>
    </row>
    <row r="62" spans="1:7" ht="12.75">
      <c r="A62" s="42">
        <f>A61+1</f>
        <v>2</v>
      </c>
      <c r="B62" s="14">
        <f>$B$4</f>
        <v>2</v>
      </c>
      <c r="C62" s="15"/>
      <c r="D62" s="15"/>
      <c r="E62" s="15" t="s">
        <v>263</v>
      </c>
      <c r="F62" s="17">
        <v>40</v>
      </c>
      <c r="G62" s="18">
        <f>B62*F62</f>
        <v>80</v>
      </c>
    </row>
    <row r="63" spans="1:7" ht="12.75">
      <c r="A63" s="42">
        <f>A62+1</f>
        <v>3</v>
      </c>
      <c r="B63" s="14">
        <f>$B$4</f>
        <v>2</v>
      </c>
      <c r="C63" s="15"/>
      <c r="D63" s="15"/>
      <c r="E63" s="15" t="s">
        <v>264</v>
      </c>
      <c r="F63" s="17">
        <v>50</v>
      </c>
      <c r="G63" s="18">
        <f>B63*F63</f>
        <v>100</v>
      </c>
    </row>
    <row r="64" spans="1:7" ht="12.75">
      <c r="A64" s="42">
        <f>A63+1</f>
        <v>4</v>
      </c>
      <c r="B64" s="21">
        <v>1</v>
      </c>
      <c r="C64" s="22"/>
      <c r="D64" s="22"/>
      <c r="E64" s="22" t="s">
        <v>261</v>
      </c>
      <c r="F64" s="23">
        <v>44</v>
      </c>
      <c r="G64" s="24">
        <f>B64*F64</f>
        <v>44</v>
      </c>
    </row>
    <row r="65" spans="1:7" ht="12.75">
      <c r="A65" s="42"/>
      <c r="F65" s="5"/>
      <c r="G65" s="5"/>
    </row>
    <row r="66" ht="12.75">
      <c r="A66" s="42"/>
    </row>
    <row r="67" spans="1:7" ht="12.75">
      <c r="A67" s="42"/>
      <c r="F67" s="4" t="s">
        <v>7</v>
      </c>
      <c r="G67" s="5">
        <f>IF($B$3&gt;0,SUM(G11:G66),0)</f>
        <v>651.05</v>
      </c>
    </row>
  </sheetData>
  <printOptions/>
  <pageMargins left="0.75" right="0.75" top="1" bottom="1" header="0.5" footer="0.5"/>
  <pageSetup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23" sqref="D23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.7109375" style="0" customWidth="1"/>
    <col min="4" max="4" width="18.7109375" style="0" customWidth="1"/>
    <col min="5" max="5" width="40.7109375" style="0" customWidth="1"/>
    <col min="6" max="7" width="9.7109375" style="0" customWidth="1"/>
  </cols>
  <sheetData>
    <row r="1" ht="12.75">
      <c r="B1" s="1" t="s">
        <v>106</v>
      </c>
    </row>
    <row r="3" spans="2:7" ht="12.75">
      <c r="B3" s="1"/>
      <c r="C3" s="1"/>
      <c r="D3" s="1" t="s">
        <v>3</v>
      </c>
      <c r="E3" s="1"/>
      <c r="F3" s="4" t="s">
        <v>5</v>
      </c>
      <c r="G3" s="4" t="s">
        <v>7</v>
      </c>
    </row>
    <row r="4" spans="2:7" ht="12.75">
      <c r="B4" s="4" t="s">
        <v>2</v>
      </c>
      <c r="C4" s="1"/>
      <c r="D4" s="1" t="s">
        <v>1</v>
      </c>
      <c r="E4" s="1" t="s">
        <v>4</v>
      </c>
      <c r="F4" s="4" t="s">
        <v>6</v>
      </c>
      <c r="G4" s="4" t="s">
        <v>5</v>
      </c>
    </row>
    <row r="6" spans="1:7" ht="12.75">
      <c r="A6" s="42">
        <v>1</v>
      </c>
      <c r="B6" s="27">
        <v>1</v>
      </c>
      <c r="C6" s="28"/>
      <c r="D6" s="28" t="s">
        <v>107</v>
      </c>
      <c r="E6" s="28" t="s">
        <v>108</v>
      </c>
      <c r="F6" s="29">
        <v>29.39</v>
      </c>
      <c r="G6" s="30">
        <f>B6*F6</f>
        <v>29.39</v>
      </c>
    </row>
    <row r="7" spans="1:7" ht="12.75">
      <c r="A7" s="42">
        <f>A6+1</f>
        <v>2</v>
      </c>
      <c r="B7" s="14">
        <v>1</v>
      </c>
      <c r="C7" s="15"/>
      <c r="D7" s="15" t="s">
        <v>255</v>
      </c>
      <c r="E7" s="15" t="s">
        <v>256</v>
      </c>
      <c r="F7" s="17">
        <v>1.94</v>
      </c>
      <c r="G7" s="18">
        <f>B7*F7</f>
        <v>1.94</v>
      </c>
    </row>
    <row r="8" spans="1:7" ht="12.75">
      <c r="A8" s="42">
        <f aca="true" t="shared" si="0" ref="A8:A23">A7+1</f>
        <v>3</v>
      </c>
      <c r="B8" s="14">
        <v>4</v>
      </c>
      <c r="C8" s="15"/>
      <c r="D8" s="15" t="s">
        <v>253</v>
      </c>
      <c r="E8" s="15" t="s">
        <v>254</v>
      </c>
      <c r="F8" s="17">
        <v>3.04</v>
      </c>
      <c r="G8" s="18">
        <f>B8*F8</f>
        <v>12.16</v>
      </c>
    </row>
    <row r="9" spans="1:7" ht="12.75">
      <c r="A9" s="42">
        <f t="shared" si="0"/>
        <v>4</v>
      </c>
      <c r="B9" s="14">
        <f>IF(NumHorns=0,1,0)</f>
        <v>0</v>
      </c>
      <c r="C9" s="15"/>
      <c r="D9" s="15" t="s">
        <v>113</v>
      </c>
      <c r="E9" s="15" t="s">
        <v>114</v>
      </c>
      <c r="F9" s="17">
        <v>13.47</v>
      </c>
      <c r="G9" s="18">
        <f>B9*F9</f>
        <v>0</v>
      </c>
    </row>
    <row r="10" spans="1:7" ht="12.75">
      <c r="A10" s="42">
        <f t="shared" si="0"/>
        <v>5</v>
      </c>
      <c r="B10" s="14">
        <f>IF(NumHorns&gt;0,8,0)</f>
        <v>8</v>
      </c>
      <c r="C10" s="15"/>
      <c r="D10" s="15" t="s">
        <v>282</v>
      </c>
      <c r="E10" s="15" t="s">
        <v>283</v>
      </c>
      <c r="F10" s="17">
        <v>0.28</v>
      </c>
      <c r="G10" s="18">
        <f aca="true" t="shared" si="1" ref="G10:G15">B10*F10</f>
        <v>2.24</v>
      </c>
    </row>
    <row r="11" spans="1:7" ht="12.75">
      <c r="A11" s="42">
        <f t="shared" si="0"/>
        <v>6</v>
      </c>
      <c r="B11" s="14">
        <f>IF(NumHorns&gt;0,8,0)</f>
        <v>8</v>
      </c>
      <c r="C11" s="15"/>
      <c r="D11" s="15" t="s">
        <v>286</v>
      </c>
      <c r="E11" s="15" t="s">
        <v>287</v>
      </c>
      <c r="F11" s="17">
        <v>0.23</v>
      </c>
      <c r="G11" s="18">
        <f t="shared" si="1"/>
        <v>1.84</v>
      </c>
    </row>
    <row r="12" spans="1:7" ht="12.75">
      <c r="A12" s="42">
        <f t="shared" si="0"/>
        <v>7</v>
      </c>
      <c r="B12" s="14">
        <f>IF(NumHorns&gt;0,1,0)</f>
        <v>1</v>
      </c>
      <c r="C12" s="15"/>
      <c r="D12" s="15" t="s">
        <v>284</v>
      </c>
      <c r="E12" s="15" t="s">
        <v>285</v>
      </c>
      <c r="F12" s="17">
        <v>0.37</v>
      </c>
      <c r="G12" s="18">
        <f t="shared" si="1"/>
        <v>0.37</v>
      </c>
    </row>
    <row r="13" spans="1:7" ht="12.75">
      <c r="A13" s="42">
        <f t="shared" si="0"/>
        <v>8</v>
      </c>
      <c r="B13" s="14">
        <f>IF(NumHorns&gt;0,1,0)</f>
        <v>1</v>
      </c>
      <c r="C13" s="15"/>
      <c r="D13" s="15" t="s">
        <v>288</v>
      </c>
      <c r="E13" s="15" t="s">
        <v>289</v>
      </c>
      <c r="F13" s="17">
        <v>0.31</v>
      </c>
      <c r="G13" s="18">
        <f t="shared" si="1"/>
        <v>0.31</v>
      </c>
    </row>
    <row r="14" spans="1:7" ht="12.75">
      <c r="A14" s="42">
        <f t="shared" si="0"/>
        <v>9</v>
      </c>
      <c r="B14" s="14">
        <f>IF(NumHorns&gt;0,1,0)</f>
        <v>1</v>
      </c>
      <c r="C14" s="15"/>
      <c r="D14" s="15" t="s">
        <v>292</v>
      </c>
      <c r="E14" s="15" t="s">
        <v>293</v>
      </c>
      <c r="F14" s="17">
        <v>0.67</v>
      </c>
      <c r="G14" s="18">
        <f>B14*F14</f>
        <v>0.67</v>
      </c>
    </row>
    <row r="15" spans="1:7" ht="12.75">
      <c r="A15" s="42">
        <f t="shared" si="0"/>
        <v>10</v>
      </c>
      <c r="B15" s="14">
        <f>IF(NumHorns&gt;0,5,0)</f>
        <v>5</v>
      </c>
      <c r="C15" s="15"/>
      <c r="D15" s="15" t="s">
        <v>48</v>
      </c>
      <c r="E15" s="15" t="s">
        <v>49</v>
      </c>
      <c r="F15" s="20">
        <v>0.054</v>
      </c>
      <c r="G15" s="18">
        <f t="shared" si="1"/>
        <v>0.27</v>
      </c>
    </row>
    <row r="16" spans="1:7" ht="12.75">
      <c r="A16" s="42">
        <f t="shared" si="0"/>
        <v>11</v>
      </c>
      <c r="B16" s="14"/>
      <c r="C16" s="15"/>
      <c r="D16" s="15"/>
      <c r="E16" s="15"/>
      <c r="F16" s="20"/>
      <c r="G16" s="18"/>
    </row>
    <row r="17" spans="1:7" ht="12.75">
      <c r="A17" s="42">
        <f t="shared" si="0"/>
        <v>12</v>
      </c>
      <c r="B17" s="14">
        <v>1</v>
      </c>
      <c r="C17" s="15"/>
      <c r="D17" s="15" t="s">
        <v>109</v>
      </c>
      <c r="E17" s="15" t="s">
        <v>110</v>
      </c>
      <c r="F17" s="17">
        <v>62.75</v>
      </c>
      <c r="G17" s="18">
        <f aca="true" t="shared" si="2" ref="G17:G23">B17*F17</f>
        <v>62.75</v>
      </c>
    </row>
    <row r="18" spans="1:7" ht="12.75">
      <c r="A18" s="42">
        <f t="shared" si="0"/>
        <v>13</v>
      </c>
      <c r="B18" s="14">
        <v>1</v>
      </c>
      <c r="C18" s="15"/>
      <c r="D18" s="15" t="s">
        <v>111</v>
      </c>
      <c r="E18" s="15" t="s">
        <v>112</v>
      </c>
      <c r="F18" s="17">
        <v>65.47</v>
      </c>
      <c r="G18" s="18">
        <f t="shared" si="2"/>
        <v>65.47</v>
      </c>
    </row>
    <row r="19" spans="1:7" ht="12.75">
      <c r="A19" s="42">
        <f t="shared" si="0"/>
        <v>14</v>
      </c>
      <c r="B19" s="14">
        <v>3</v>
      </c>
      <c r="C19" s="15"/>
      <c r="D19" s="15" t="s">
        <v>125</v>
      </c>
      <c r="E19" s="15" t="s">
        <v>126</v>
      </c>
      <c r="F19" s="17">
        <v>2.76</v>
      </c>
      <c r="G19" s="18">
        <f t="shared" si="2"/>
        <v>8.28</v>
      </c>
    </row>
    <row r="20" spans="1:7" ht="12.75">
      <c r="A20" s="42">
        <f t="shared" si="0"/>
        <v>15</v>
      </c>
      <c r="B20" s="14">
        <v>5</v>
      </c>
      <c r="C20" s="15"/>
      <c r="D20" s="15" t="s">
        <v>127</v>
      </c>
      <c r="E20" s="15" t="s">
        <v>128</v>
      </c>
      <c r="F20" s="17">
        <v>0.346</v>
      </c>
      <c r="G20" s="18">
        <f t="shared" si="2"/>
        <v>1.73</v>
      </c>
    </row>
    <row r="21" spans="1:7" ht="12.75">
      <c r="A21" s="42">
        <f t="shared" si="0"/>
        <v>16</v>
      </c>
      <c r="B21" s="14">
        <v>5</v>
      </c>
      <c r="C21" s="15"/>
      <c r="D21" s="15" t="s">
        <v>130</v>
      </c>
      <c r="E21" s="15" t="s">
        <v>129</v>
      </c>
      <c r="F21" s="17">
        <v>0.222</v>
      </c>
      <c r="G21" s="18">
        <f t="shared" si="2"/>
        <v>1.11</v>
      </c>
    </row>
    <row r="22" spans="1:7" ht="12.75">
      <c r="A22" s="42">
        <f t="shared" si="0"/>
        <v>17</v>
      </c>
      <c r="B22" s="14">
        <v>1</v>
      </c>
      <c r="C22" s="15"/>
      <c r="D22" s="15" t="s">
        <v>131</v>
      </c>
      <c r="E22" s="15" t="s">
        <v>132</v>
      </c>
      <c r="F22" s="17">
        <v>5.63</v>
      </c>
      <c r="G22" s="18">
        <f t="shared" si="2"/>
        <v>5.63</v>
      </c>
    </row>
    <row r="23" spans="1:7" ht="12.75">
      <c r="A23" s="42">
        <f t="shared" si="0"/>
        <v>18</v>
      </c>
      <c r="B23" s="21">
        <v>1</v>
      </c>
      <c r="C23" s="22"/>
      <c r="D23" s="22" t="s">
        <v>171</v>
      </c>
      <c r="E23" s="22" t="s">
        <v>172</v>
      </c>
      <c r="F23" s="23">
        <v>4.34</v>
      </c>
      <c r="G23" s="24">
        <f t="shared" si="2"/>
        <v>4.34</v>
      </c>
    </row>
    <row r="24" spans="1:7" ht="12.75">
      <c r="A24" s="42"/>
      <c r="F24" s="5"/>
      <c r="G24" s="5"/>
    </row>
    <row r="25" spans="6:7" ht="12.75">
      <c r="F25" s="5"/>
      <c r="G25" s="5"/>
    </row>
    <row r="27" spans="6:7" ht="12.75">
      <c r="F27" s="4" t="s">
        <v>7</v>
      </c>
      <c r="G27" s="5">
        <f>SUM(G6:G26)</f>
        <v>198.50000000000003</v>
      </c>
    </row>
    <row r="29" ht="12.75">
      <c r="E29" t="s">
        <v>294</v>
      </c>
    </row>
    <row r="30" ht="12.75">
      <c r="E30" t="s">
        <v>295</v>
      </c>
    </row>
    <row r="31" ht="12.75">
      <c r="E31" t="s">
        <v>351</v>
      </c>
    </row>
    <row r="32" ht="12.75">
      <c r="E32" t="s">
        <v>352</v>
      </c>
    </row>
    <row r="33" ht="12.75">
      <c r="E33" t="s">
        <v>353</v>
      </c>
    </row>
    <row r="35" ht="12.75">
      <c r="E35" t="s">
        <v>296</v>
      </c>
    </row>
    <row r="36" ht="12.75">
      <c r="E36" t="s">
        <v>218</v>
      </c>
    </row>
    <row r="38" ht="12.75">
      <c r="E38" t="s">
        <v>297</v>
      </c>
    </row>
    <row r="39" ht="12.75">
      <c r="E39" t="s">
        <v>257</v>
      </c>
    </row>
  </sheetData>
  <printOptions/>
  <pageMargins left="0.75" right="0.75" top="1" bottom="1" header="0.5" footer="0.5"/>
  <pageSetup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9" sqref="F9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.7109375" style="0" customWidth="1"/>
    <col min="4" max="4" width="18.7109375" style="0" customWidth="1"/>
    <col min="5" max="5" width="40.7109375" style="0" customWidth="1"/>
    <col min="6" max="7" width="9.7109375" style="0" customWidth="1"/>
  </cols>
  <sheetData>
    <row r="1" ht="12.75">
      <c r="B1" s="1" t="s">
        <v>202</v>
      </c>
    </row>
    <row r="3" spans="2:7" ht="12.75">
      <c r="B3" s="1"/>
      <c r="C3" s="1"/>
      <c r="D3" s="1" t="s">
        <v>3</v>
      </c>
      <c r="E3" s="1"/>
      <c r="F3" s="4" t="s">
        <v>5</v>
      </c>
      <c r="G3" s="4" t="s">
        <v>7</v>
      </c>
    </row>
    <row r="4" spans="2:7" ht="12.75">
      <c r="B4" s="4" t="s">
        <v>2</v>
      </c>
      <c r="C4" s="1"/>
      <c r="D4" s="1" t="s">
        <v>1</v>
      </c>
      <c r="E4" s="1" t="s">
        <v>4</v>
      </c>
      <c r="F4" s="4" t="s">
        <v>6</v>
      </c>
      <c r="G4" s="4" t="s">
        <v>5</v>
      </c>
    </row>
    <row r="6" spans="1:7" ht="12.75">
      <c r="A6" s="42">
        <v>1</v>
      </c>
      <c r="B6" s="27">
        <v>1</v>
      </c>
      <c r="C6" s="28"/>
      <c r="D6" s="28" t="s">
        <v>18</v>
      </c>
      <c r="E6" s="28" t="s">
        <v>19</v>
      </c>
      <c r="F6" s="29">
        <v>9.08</v>
      </c>
      <c r="G6" s="30">
        <f>B6*F6</f>
        <v>9.08</v>
      </c>
    </row>
    <row r="7" spans="1:7" ht="12.75">
      <c r="A7" s="42">
        <f>A6+1</f>
        <v>2</v>
      </c>
      <c r="B7" s="14">
        <v>1</v>
      </c>
      <c r="C7" s="15"/>
      <c r="D7" s="15" t="s">
        <v>36</v>
      </c>
      <c r="E7" s="15" t="s">
        <v>37</v>
      </c>
      <c r="F7" s="17">
        <v>9.08</v>
      </c>
      <c r="G7" s="18">
        <f>B7*F7</f>
        <v>9.08</v>
      </c>
    </row>
    <row r="8" spans="1:7" ht="12.75">
      <c r="A8" s="42">
        <f>A7+1</f>
        <v>3</v>
      </c>
      <c r="B8" s="21">
        <v>1</v>
      </c>
      <c r="C8" s="22"/>
      <c r="D8" s="22" t="s">
        <v>38</v>
      </c>
      <c r="E8" s="22" t="s">
        <v>39</v>
      </c>
      <c r="F8" s="23">
        <v>38.36</v>
      </c>
      <c r="G8" s="24">
        <f>B8*F8</f>
        <v>38.36</v>
      </c>
    </row>
    <row r="11" spans="6:7" ht="12.75">
      <c r="F11" s="4" t="s">
        <v>7</v>
      </c>
      <c r="G11" s="5">
        <f>SUM(G6:G10)</f>
        <v>56.519999999999996</v>
      </c>
    </row>
    <row r="13" ht="12.75">
      <c r="E13" t="s">
        <v>383</v>
      </c>
    </row>
    <row r="15" ht="12.75">
      <c r="E15" t="s">
        <v>384</v>
      </c>
    </row>
    <row r="16" ht="12.75">
      <c r="E16" t="s">
        <v>385</v>
      </c>
    </row>
  </sheetData>
  <printOptions/>
  <pageMargins left="0.75" right="0.75" top="1" bottom="1" header="0.5" footer="0.5"/>
  <pageSetup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D10" sqref="D10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.7109375" style="0" customWidth="1"/>
    <col min="4" max="4" width="17.421875" style="0" customWidth="1"/>
    <col min="5" max="5" width="41.8515625" style="0" customWidth="1"/>
    <col min="6" max="7" width="9.7109375" style="0" customWidth="1"/>
  </cols>
  <sheetData>
    <row r="1" ht="12.75">
      <c r="B1" s="1" t="s">
        <v>226</v>
      </c>
    </row>
    <row r="3" spans="2:7" ht="12.75">
      <c r="B3" s="1"/>
      <c r="C3" s="1"/>
      <c r="D3" s="1"/>
      <c r="E3" s="1"/>
      <c r="F3" s="4" t="s">
        <v>5</v>
      </c>
      <c r="G3" s="4" t="s">
        <v>7</v>
      </c>
    </row>
    <row r="4" spans="2:7" ht="12.75">
      <c r="B4" s="1"/>
      <c r="C4" s="1"/>
      <c r="D4" s="1"/>
      <c r="E4" s="1"/>
      <c r="F4" s="4"/>
      <c r="G4" s="4"/>
    </row>
    <row r="5" spans="2:7" ht="12.75">
      <c r="B5" s="4" t="s">
        <v>2</v>
      </c>
      <c r="C5" s="1"/>
      <c r="D5" s="1" t="s">
        <v>1</v>
      </c>
      <c r="E5" s="1" t="s">
        <v>193</v>
      </c>
      <c r="F5" s="4" t="s">
        <v>6</v>
      </c>
      <c r="G5" s="4" t="s">
        <v>5</v>
      </c>
    </row>
    <row r="7" spans="1:7" ht="12.75">
      <c r="A7" s="42">
        <v>1</v>
      </c>
      <c r="B7" s="27">
        <f>CEILING((BlockBoards+TurnBoards)/4,1)</f>
        <v>2</v>
      </c>
      <c r="C7" s="28"/>
      <c r="D7" s="28" t="s">
        <v>223</v>
      </c>
      <c r="E7" s="28" t="s">
        <v>224</v>
      </c>
      <c r="F7" s="29">
        <v>495</v>
      </c>
      <c r="G7" s="30">
        <f>B7*F7</f>
        <v>990</v>
      </c>
    </row>
    <row r="8" spans="1:7" ht="12.75">
      <c r="A8" s="42">
        <f>A7+1</f>
        <v>2</v>
      </c>
      <c r="B8" s="14">
        <v>1</v>
      </c>
      <c r="C8" s="15"/>
      <c r="D8" s="15" t="s">
        <v>225</v>
      </c>
      <c r="E8" s="15" t="s">
        <v>239</v>
      </c>
      <c r="F8" s="17">
        <v>585</v>
      </c>
      <c r="G8" s="18">
        <f>B8*F8</f>
        <v>585</v>
      </c>
    </row>
    <row r="9" spans="1:7" ht="12.75">
      <c r="A9" s="42">
        <f>A8+1</f>
        <v>3</v>
      </c>
      <c r="B9" s="14">
        <f>CabBoards</f>
        <v>1</v>
      </c>
      <c r="C9" s="15"/>
      <c r="D9" s="15" t="s">
        <v>372</v>
      </c>
      <c r="E9" s="15" t="s">
        <v>371</v>
      </c>
      <c r="F9" s="17">
        <v>605</v>
      </c>
      <c r="G9" s="18">
        <f>B9*F9</f>
        <v>605</v>
      </c>
    </row>
    <row r="10" spans="1:7" ht="12.75">
      <c r="A10" s="42">
        <f>A9+1</f>
        <v>4</v>
      </c>
      <c r="B10" s="21">
        <v>1</v>
      </c>
      <c r="C10" s="22"/>
      <c r="D10" s="22" t="s">
        <v>369</v>
      </c>
      <c r="E10" s="22" t="s">
        <v>370</v>
      </c>
      <c r="F10" s="23">
        <v>295</v>
      </c>
      <c r="G10" s="24">
        <f>B10*F10</f>
        <v>295</v>
      </c>
    </row>
    <row r="12" spans="6:7" ht="12.75">
      <c r="F12" s="4" t="s">
        <v>7</v>
      </c>
      <c r="G12" s="5">
        <f>SUM(G7:G11)</f>
        <v>2475</v>
      </c>
    </row>
    <row r="15" ht="12.75">
      <c r="E15" t="s">
        <v>375</v>
      </c>
    </row>
    <row r="16" ht="12.75">
      <c r="E16" t="s">
        <v>377</v>
      </c>
    </row>
    <row r="18" ht="12.75">
      <c r="E18" t="s">
        <v>376</v>
      </c>
    </row>
    <row r="31" ht="12.75">
      <c r="E31" s="43"/>
    </row>
    <row r="32" ht="12.75">
      <c r="E32" s="43"/>
    </row>
    <row r="33" ht="12.75">
      <c r="E33" s="43"/>
    </row>
    <row r="34" ht="12.75">
      <c r="E34" s="43"/>
    </row>
    <row r="35" ht="12.75">
      <c r="E35" s="43"/>
    </row>
    <row r="36" ht="12.75">
      <c r="E36" s="43"/>
    </row>
  </sheetData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Science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McCormick</dc:creator>
  <cp:keywords/>
  <dc:description/>
  <cp:lastModifiedBy>John W. McCormick</cp:lastModifiedBy>
  <cp:lastPrinted>2004-12-21T15:52:24Z</cp:lastPrinted>
  <dcterms:created xsi:type="dcterms:W3CDTF">2001-12-03T13:57:21Z</dcterms:created>
  <dcterms:modified xsi:type="dcterms:W3CDTF">2005-02-11T21:15:13Z</dcterms:modified>
  <cp:category/>
  <cp:version/>
  <cp:contentType/>
  <cp:contentStatus/>
</cp:coreProperties>
</file>